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80" windowHeight="11640" activeTab="0"/>
  </bookViews>
  <sheets>
    <sheet name="Izbor" sheetId="1" r:id="rId1"/>
    <sheet name="1.8.2013 Cenovnik JS" sheetId="2" state="hidden" r:id="rId2"/>
    <sheet name="1.3.2013 Cenovnik za EMS" sheetId="3" state="hidden" r:id="rId3"/>
    <sheet name="1.8.2013 Cenovnik za ED NS" sheetId="4" state="hidden" r:id="rId4"/>
    <sheet name="1.8.2013 Cenovnik za ED BG" sheetId="5" state="hidden" r:id="rId5"/>
    <sheet name="1.8.2013 Cenovnik za ED KV" sheetId="6" state="hidden" r:id="rId6"/>
    <sheet name="1.8.2013 Cenovnik za ED NI" sheetId="7" state="hidden" r:id="rId7"/>
    <sheet name="1.8.2013 Cenovnik za ED KG" sheetId="8" state="hidden" r:id="rId8"/>
    <sheet name="Visoki napon" sheetId="9" r:id="rId9"/>
    <sheet name="Srednji napon" sheetId="10" r:id="rId10"/>
    <sheet name="Niski napon" sheetId="11" r:id="rId11"/>
    <sheet name="ŠP - Jednotarifni" sheetId="12" r:id="rId12"/>
    <sheet name="ŠP - Dvotarifni" sheetId="13" r:id="rId13"/>
    <sheet name="Obracun - El energija" sheetId="14" state="hidden" r:id="rId14"/>
  </sheets>
  <definedNames>
    <definedName name="_xlnm.Print_Area" localSheetId="2">'1.3.2013 Cenovnik za EMS'!$B$3:$E$28</definedName>
    <definedName name="_xlnm.Print_Area" localSheetId="4">'1.8.2013 Cenovnik za ED BG'!$B$4:$F$57</definedName>
    <definedName name="_xlnm.Print_Area" localSheetId="7">'1.8.2013 Cenovnik za ED KG'!$B$4:$F$57</definedName>
    <definedName name="_xlnm.Print_Area" localSheetId="5">'1.8.2013 Cenovnik za ED KV'!$B$4:$F$57</definedName>
    <definedName name="_xlnm.Print_Area" localSheetId="6">'1.8.2013 Cenovnik za ED NI'!$B$4:$F$57</definedName>
    <definedName name="_xlnm.Print_Area" localSheetId="3">'1.8.2013 Cenovnik za ED NS'!$B$4:$F$57</definedName>
    <definedName name="_xlnm.Print_Area" localSheetId="0">'Izbor'!$A$2:$H$18</definedName>
    <definedName name="_xlnm.Print_Area" localSheetId="10">'Niski napon'!$A$2:$F$39</definedName>
    <definedName name="_xlnm.Print_Area" localSheetId="13">'Obracun - El energija'!$D$5:$Q$15</definedName>
    <definedName name="_xlnm.Print_Area" localSheetId="9">'Srednji napon'!$A$2:$F$39</definedName>
    <definedName name="_xlnm.Print_Area" localSheetId="12">'ŠP - Dvotarifni'!$A$2:$F$44</definedName>
    <definedName name="_xlnm.Print_Area" localSheetId="11">'ŠP - Jednotarifni'!$A$2:$F$42</definedName>
    <definedName name="_xlnm.Print_Area" localSheetId="8">'Visoki napon'!$A$2:$F$39</definedName>
  </definedNames>
  <calcPr fullCalcOnLoad="1"/>
</workbook>
</file>

<file path=xl/sharedStrings.xml><?xml version="1.0" encoding="utf-8"?>
<sst xmlns="http://schemas.openxmlformats.org/spreadsheetml/2006/main" count="796" uniqueCount="228">
  <si>
    <t>kWh</t>
  </si>
  <si>
    <t>PDV</t>
  </si>
  <si>
    <t>Ukupno</t>
  </si>
  <si>
    <t>Aktivna energija</t>
  </si>
  <si>
    <t>Reaktivna energija</t>
  </si>
  <si>
    <t>kW</t>
  </si>
  <si>
    <t>Snaga</t>
  </si>
  <si>
    <t>Količine</t>
  </si>
  <si>
    <t>Zelena</t>
  </si>
  <si>
    <t>Plava</t>
  </si>
  <si>
    <t>Crvena</t>
  </si>
  <si>
    <t>naknada</t>
  </si>
  <si>
    <t>Fiksna</t>
  </si>
  <si>
    <t>Energija</t>
  </si>
  <si>
    <t>VT</t>
  </si>
  <si>
    <t>NT</t>
  </si>
  <si>
    <t>Dinara</t>
  </si>
  <si>
    <t>Mesečno</t>
  </si>
  <si>
    <t>Датум читања:</t>
  </si>
  <si>
    <t>Активна енергија</t>
  </si>
  <si>
    <t>Активна енергија:</t>
  </si>
  <si>
    <t>ВТ</t>
  </si>
  <si>
    <t>МТ</t>
  </si>
  <si>
    <t>Претходно</t>
  </si>
  <si>
    <t>Ново</t>
  </si>
  <si>
    <t>Активна енергија у kWh:</t>
  </si>
  <si>
    <t>Снага у kW:</t>
  </si>
  <si>
    <t>Број мерних места:</t>
  </si>
  <si>
    <t>Дан:</t>
  </si>
  <si>
    <t>Месец:</t>
  </si>
  <si>
    <t>Година:</t>
  </si>
  <si>
    <t>Dani</t>
  </si>
  <si>
    <t>Kategorija/</t>
  </si>
  <si>
    <t>grupa kupaca</t>
  </si>
  <si>
    <t>Јединица мере</t>
  </si>
  <si>
    <t>Динара</t>
  </si>
  <si>
    <t>Индекси</t>
  </si>
  <si>
    <t>за јединицу</t>
  </si>
  <si>
    <t xml:space="preserve"> 7/5</t>
  </si>
  <si>
    <t xml:space="preserve"> 8/5</t>
  </si>
  <si>
    <t>мере</t>
  </si>
  <si>
    <t>Обрачунска снага</t>
  </si>
  <si>
    <t>kvarh</t>
  </si>
  <si>
    <t>4. Широка потрошња</t>
  </si>
  <si>
    <t>5. Јавно осветљење</t>
  </si>
  <si>
    <t>ŠP Dvotarifni</t>
  </si>
  <si>
    <t>ŠP Jednotarifni</t>
  </si>
  <si>
    <t>sa PDV</t>
  </si>
  <si>
    <t>RTS</t>
  </si>
  <si>
    <t>Odobren</t>
  </si>
  <si>
    <t>popust</t>
  </si>
  <si>
    <t>sa popustom</t>
  </si>
  <si>
    <t>Широка потрошња - купци са двотарифним мерењем</t>
  </si>
  <si>
    <t>Широка потрошња</t>
  </si>
  <si>
    <t>Високи напон</t>
  </si>
  <si>
    <t>Средњи напон</t>
  </si>
  <si>
    <t>Ниски напон</t>
  </si>
  <si>
    <t xml:space="preserve">  Купци са једнотарифним мерењем</t>
  </si>
  <si>
    <t xml:space="preserve">  Купци са двотарифним мерењем</t>
  </si>
  <si>
    <t xml:space="preserve">  Купци са управљаном потрошњом</t>
  </si>
  <si>
    <t xml:space="preserve">  Купци са посебним мерењем (ДУТ)</t>
  </si>
  <si>
    <t xml:space="preserve">Изаберите категорију потрошње односно групу купаца за коју желите да обрачунате </t>
  </si>
  <si>
    <t>износ месечног рачуна за електричну енергију: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</si>
  <si>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</si>
  <si>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</si>
  <si>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</si>
  <si>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</si>
  <si>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</si>
  <si>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</si>
  <si>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</si>
  <si>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</si>
  <si>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</si>
  <si>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</si>
  <si>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Укупно електрична енергија без пореза (1.+2.+3.):</t>
  </si>
  <si>
    <t>РТВ претплата</t>
  </si>
  <si>
    <t>Широка потрошња - купци са једнотарифним мерењем</t>
  </si>
  <si>
    <t>ŠP DT</t>
  </si>
  <si>
    <t>ŠP JT</t>
  </si>
  <si>
    <t>Реактивна енергија</t>
  </si>
  <si>
    <t>Aktivna Energija</t>
  </si>
  <si>
    <t>Reaktivna Energija</t>
  </si>
  <si>
    <t>cos Fi</t>
  </si>
  <si>
    <t>sin Fi</t>
  </si>
  <si>
    <t>Visoki napon</t>
  </si>
  <si>
    <t>Izmerena</t>
  </si>
  <si>
    <t>Prekom</t>
  </si>
  <si>
    <t>Srednji napon</t>
  </si>
  <si>
    <t>Niski napon</t>
  </si>
  <si>
    <t>Активна енергија у MWh:</t>
  </si>
  <si>
    <t>Visoki napon'!C5</t>
  </si>
  <si>
    <t>ŠP - Jednotarifni'!C5</t>
  </si>
  <si>
    <t>ŠP - Dvotarifni'!C5</t>
  </si>
  <si>
    <t>Srednji napon'!C5</t>
  </si>
  <si>
    <t>Niski napon'!C5</t>
  </si>
  <si>
    <t>Јавно осветљење</t>
  </si>
  <si>
    <t xml:space="preserve">  Светлеће рекламе</t>
  </si>
  <si>
    <t>4.1.</t>
  </si>
  <si>
    <t>4.2.</t>
  </si>
  <si>
    <t>4.3.</t>
  </si>
  <si>
    <t>4.4.</t>
  </si>
  <si>
    <t>5.1.</t>
  </si>
  <si>
    <t>Врста прикључка:</t>
  </si>
  <si>
    <t xml:space="preserve">(дозвољено је бирати и уносити податке само у жуто обојена поља) </t>
  </si>
  <si>
    <t xml:space="preserve">Напомена: </t>
  </si>
  <si>
    <r>
      <t xml:space="preserve">Приликом отварања калкулатора, неопходно је одабрати опцију: </t>
    </r>
    <r>
      <rPr>
        <u val="single"/>
        <sz val="12"/>
        <rFont val="Arial Narrow"/>
        <family val="2"/>
      </rPr>
      <t>E</t>
    </r>
    <r>
      <rPr>
        <sz val="12"/>
        <rFont val="Arial Narrow"/>
        <family val="2"/>
      </rPr>
      <t>nable Macros.</t>
    </r>
  </si>
  <si>
    <t>Mon1/Tro2</t>
  </si>
  <si>
    <t>3. Широка потрошња</t>
  </si>
  <si>
    <t>4. Јавно осветљење</t>
  </si>
  <si>
    <t>Obračun el. energija</t>
  </si>
  <si>
    <t>Obračun distribucija</t>
  </si>
  <si>
    <t>NS ŠP Dvotarifni</t>
  </si>
  <si>
    <t>BG ŠP Dvotarifni</t>
  </si>
  <si>
    <t>KV ŠP Dvotarifni</t>
  </si>
  <si>
    <t>NI ŠP Dvotarifni</t>
  </si>
  <si>
    <t>KG ŠP Dvotarifni</t>
  </si>
  <si>
    <t>BG ŠP Jednotarifni</t>
  </si>
  <si>
    <t>NS ŠP Jednotarifni</t>
  </si>
  <si>
    <t>KV ŠP Jednotarifni</t>
  </si>
  <si>
    <t>NI ŠP Jednotarifni</t>
  </si>
  <si>
    <t>KG ŠP Jednotarifni</t>
  </si>
  <si>
    <t>Obračun prenos i distribucija</t>
  </si>
  <si>
    <t>NS Srednji napon</t>
  </si>
  <si>
    <t>NS Niski napon</t>
  </si>
  <si>
    <t>BG Srednji napon</t>
  </si>
  <si>
    <t>KV Srednji napon</t>
  </si>
  <si>
    <t>NI Srednji napon</t>
  </si>
  <si>
    <t>KG Srednji napon</t>
  </si>
  <si>
    <t>BG Niski napon</t>
  </si>
  <si>
    <t>KV Niski napon</t>
  </si>
  <si>
    <t>NI Niski napon</t>
  </si>
  <si>
    <t>KG Niski napon</t>
  </si>
  <si>
    <t>О УТВРЂИВАЊУ ЦЕНА ЗА ПРИСТУП И КОРИШЋЕЊЕ СИСТЕМА ЗА ПРЕНОС ЕЛЕКТРИЧНЕ ЕНЕРГИЈЕ</t>
  </si>
  <si>
    <t>Тарифни елемент</t>
  </si>
  <si>
    <t>Динара по јединици мере</t>
  </si>
  <si>
    <t>2. Активна енергија</t>
  </si>
  <si>
    <t>3. Реактивна енергија</t>
  </si>
  <si>
    <t>реактивна енергија</t>
  </si>
  <si>
    <t>Од тога:</t>
  </si>
  <si>
    <t>Коришћење система за пренос електричне енергије без пореза</t>
  </si>
  <si>
    <t>Коришћење система за пренос електричне енергије са порезом (1.+2.)</t>
  </si>
  <si>
    <t>Коришћење система за дистрибуцију електричне енергије без пореза</t>
  </si>
  <si>
    <t>Електровојводина Нови Сад</t>
  </si>
  <si>
    <t>Електродистрибуција Београд</t>
  </si>
  <si>
    <t>Електросрбија Краљево</t>
  </si>
  <si>
    <t>Југоисток Ниш</t>
  </si>
  <si>
    <t>Центар Крагујевац</t>
  </si>
  <si>
    <t>Избор ЕД</t>
  </si>
  <si>
    <t>Од тога:                                                                       Избор ЕД предузећа</t>
  </si>
  <si>
    <t>Коришћење система за дистрибуцију ел. енергије са порезом (1.+2.)</t>
  </si>
  <si>
    <t>Од тога:                                                                     Избор ЕД предузећа</t>
  </si>
  <si>
    <t>Од тога:                                                                      Избор ЕД предузећа</t>
  </si>
  <si>
    <t>Одобрен попуст 5% за ел. енергију из претходног обрачунског периода</t>
  </si>
  <si>
    <t>11.</t>
  </si>
  <si>
    <t>12.</t>
  </si>
  <si>
    <t>Уплатом укупног дуга за РТВ претплату до датума доспећа остварује се право на попуст 5% у рачуну за следећи обрачунски период од</t>
  </si>
  <si>
    <t>Уплатом укупног дуга за ел. енергију до датума доспећа остварује се право на попуст 5% у рачуну за следећи обрачунски период од</t>
  </si>
  <si>
    <t>13.</t>
  </si>
  <si>
    <t>Redovna uplata</t>
  </si>
  <si>
    <t>Mes potroš</t>
  </si>
  <si>
    <t>&lt;350kWh</t>
  </si>
  <si>
    <t>Popust za</t>
  </si>
  <si>
    <t>sa popusti</t>
  </si>
  <si>
    <t>14.</t>
  </si>
  <si>
    <t>Одобрен попуст за РТВ претплату из претходног обрачунског периода</t>
  </si>
  <si>
    <t>Укупно ел. ен. са порезом и РТВ претплатом уз одоб. попуст (9.+10.-11.):</t>
  </si>
  <si>
    <t>Popust 5%</t>
  </si>
  <si>
    <t xml:space="preserve"> О Д Л У К У</t>
  </si>
  <si>
    <t>Категорија купаца</t>
  </si>
  <si>
    <t>Тарифе</t>
  </si>
  <si>
    <t>ОДЛУКА О ЦЕНИ ЕЛЕКТРИЧНЕ ЕНЕРГИЈЕ</t>
  </si>
  <si>
    <t>ЗА ЈАВНО СНАБДЕВАЊЕ</t>
  </si>
  <si>
    <t>1. Потрошња на високом напону</t>
  </si>
  <si>
    <t>„трошак јавног снабдевача"</t>
  </si>
  <si>
    <t>„обрачунска снага“</t>
  </si>
  <si>
    <t>„прекомерна снага“</t>
  </si>
  <si>
    <t>„виша дневна тарифа за активну енергију“</t>
  </si>
  <si>
    <t>„нижа дневна тарифа за активну енергију“</t>
  </si>
  <si>
    <t>„реактивна енергија“ (cosφ≥0,95)</t>
  </si>
  <si>
    <t>„прекомерна реактивна енергија“ (cosφ&lt;0,95)</t>
  </si>
  <si>
    <t>2. Потрошња на средњем напону</t>
  </si>
  <si>
    <t>3. Потрошња на ниском напону</t>
  </si>
  <si>
    <t>једнотарифно мерење</t>
  </si>
  <si>
    <t>„једнотарифно мерење - зелена зона“</t>
  </si>
  <si>
    <t>„једнотарифно мерење - плава зона“</t>
  </si>
  <si>
    <t>„једнотарифно мерење - црвена зона“</t>
  </si>
  <si>
    <t>двотарифно мерење</t>
  </si>
  <si>
    <t>„виша дневна тарифа - зелена зона“</t>
  </si>
  <si>
    <t>„нижа дневна тарифа - зелена зона“</t>
  </si>
  <si>
    <t>„виша дневна тарифа - плава зона“</t>
  </si>
  <si>
    <t>„нижа дневна тарифа - плава зона“</t>
  </si>
  <si>
    <t>„виша дневна тарифа - црвена зона“</t>
  </si>
  <si>
    <t>„нижа дневна тарифа - црвена зона“</t>
  </si>
  <si>
    <t>управљана потрошња</t>
  </si>
  <si>
    <t>управљана потрошња са посебним мерењем (ДУТ)</t>
  </si>
  <si>
    <t>„активна енергија - јавна расвета“</t>
  </si>
  <si>
    <t>„активна енергија - светлеће рекламе“</t>
  </si>
  <si>
    <t>Kорисници система</t>
  </si>
  <si>
    <t xml:space="preserve">1. Потрошња на средњем напону </t>
  </si>
  <si>
    <t>„одобрена снага“</t>
  </si>
  <si>
    <t>2. Потрошња на ниском напону</t>
  </si>
  <si>
    <t>„једнотарифно мерење“</t>
  </si>
  <si>
    <t>нижа дневна тарифа за активну енергију“</t>
  </si>
  <si>
    <t>виша дневна тарифа за активну енергију“</t>
  </si>
  <si>
    <t>„активна енергија- јавно осветљење“</t>
  </si>
  <si>
    <t>одобрена снага</t>
  </si>
  <si>
    <t>прекомерна снага</t>
  </si>
  <si>
    <t>1. Активна снага</t>
  </si>
  <si>
    <t>виша дневна тарифа</t>
  </si>
  <si>
    <t>нижа дневна тарифа</t>
  </si>
  <si>
    <t>прекомерна реактивна енергија</t>
  </si>
  <si>
    <t>ОДЛУКА</t>
  </si>
  <si>
    <t>О ЦЕНИ ПРИСТУПА СИСТЕМУ ЗА ДИСТРИБУЦИЈУ ЕЛЕКТРИЧНЕ ЕНЕРГИЈЕ</t>
  </si>
  <si>
    <t>Порез (ПДВ) 20%</t>
  </si>
  <si>
    <t>Накнада за ОИЕ</t>
  </si>
  <si>
    <t>OIE</t>
  </si>
  <si>
    <t>Naknada</t>
  </si>
  <si>
    <t>Трошак јавног снабдевача</t>
  </si>
  <si>
    <t>Укупно ел. енергија без пореза уз одобрен попуст и ОИЕ (4.-5.+6.):</t>
  </si>
  <si>
    <t>Укупно електрична енергија са порезом уз одобрен попуст и ОИЕ (7.+8.):</t>
  </si>
  <si>
    <t>Укупно електрична енергија без пореза (1.+2.+3.+4.+5.):</t>
  </si>
  <si>
    <t>Константа:</t>
  </si>
  <si>
    <t>Реактивна енергија у Mvarh:</t>
  </si>
  <si>
    <t>Одобрена снага</t>
  </si>
  <si>
    <t>Odobrena</t>
  </si>
  <si>
    <t>Prekomerna</t>
  </si>
  <si>
    <t>Активна снага у kW:</t>
  </si>
  <si>
    <t>Активна снага</t>
  </si>
  <si>
    <t>Укупно електрична енергија са порезом (6.+7.):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</si>
</sst>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&quot;Din.&quot;_ ;_ * \(#,##0\)\ &quot;Din.&quot;_ ;_ * &quot;-&quot;_)\ &quot;Din.&quot;_ ;_ @_ "/>
    <numFmt numFmtId="173" formatCode="_ * #,##0_)\ _D_i_n_._ ;_ * \(#,##0\)\ _D_i_n_._ ;_ * &quot;-&quot;_)\ _D_i_n_._ ;_ @_ "/>
    <numFmt numFmtId="174" formatCode="_ * #,##0.00_)\ &quot;Din.&quot;_ ;_ * \(#,##0.00\)\ &quot;Din.&quot;_ ;_ * &quot;-&quot;??_)\ &quot;Din.&quot;_ ;_ @_ "/>
    <numFmt numFmtId="175" formatCode="_ * #,##0.00_)\ _D_i_n_._ ;_ * \(#,##0.00\)\ _D_i_n_._ ;_ * &quot;-&quot;??_)\ _D_i_n_._ ;_ @_ "/>
    <numFmt numFmtId="176" formatCode="0.000"/>
    <numFmt numFmtId="177" formatCode="#,##0.000"/>
    <numFmt numFmtId="178" formatCode="#,##0.0000"/>
    <numFmt numFmtId="179" formatCode="0.0000"/>
    <numFmt numFmtId="180" formatCode="0.00000"/>
    <numFmt numFmtId="181" formatCode="#,##0.00000"/>
    <numFmt numFmtId="182" formatCode="#,##0.000000"/>
    <numFmt numFmtId="183" formatCode="0_)"/>
    <numFmt numFmtId="184" formatCode="#,##0.0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Narrow"/>
      <family val="2"/>
    </font>
    <font>
      <b/>
      <sz val="11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183" fontId="3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22" borderId="0" xfId="0" applyFill="1" applyAlignment="1">
      <alignment/>
    </xf>
    <xf numFmtId="3" fontId="1" fillId="0" borderId="0" xfId="0" applyNumberFormat="1" applyFont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19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5" fillId="0" borderId="0" xfId="57" applyFont="1" applyFill="1">
      <alignment/>
      <protection/>
    </xf>
    <xf numFmtId="4" fontId="5" fillId="0" borderId="0" xfId="57" applyNumberFormat="1" applyFont="1" applyFill="1">
      <alignment/>
      <protection/>
    </xf>
    <xf numFmtId="4" fontId="7" fillId="0" borderId="0" xfId="57" applyNumberFormat="1" applyFont="1" applyFill="1">
      <alignment/>
      <protection/>
    </xf>
    <xf numFmtId="4" fontId="0" fillId="0" borderId="0" xfId="57" applyNumberFormat="1" applyFont="1" applyFill="1">
      <alignment/>
      <protection/>
    </xf>
    <xf numFmtId="0" fontId="7" fillId="0" borderId="0" xfId="57" applyFont="1" applyFill="1">
      <alignment/>
      <protection/>
    </xf>
    <xf numFmtId="0" fontId="3" fillId="0" borderId="0" xfId="57" applyFont="1" applyFill="1" applyAlignment="1">
      <alignment horizontal="center"/>
      <protection/>
    </xf>
    <xf numFmtId="0" fontId="8" fillId="0" borderId="0" xfId="57" applyFont="1" applyFill="1" applyAlignment="1">
      <alignment horizontal="center"/>
      <protection/>
    </xf>
    <xf numFmtId="4" fontId="8" fillId="0" borderId="0" xfId="57" applyNumberFormat="1" applyFont="1" applyFill="1" applyAlignment="1">
      <alignment horizontal="center"/>
      <protection/>
    </xf>
    <xf numFmtId="4" fontId="5" fillId="0" borderId="33" xfId="57" applyNumberFormat="1" applyFont="1" applyFill="1" applyBorder="1" applyAlignment="1">
      <alignment horizontal="center"/>
      <protection/>
    </xf>
    <xf numFmtId="4" fontId="5" fillId="0" borderId="0" xfId="57" applyNumberFormat="1" applyFont="1" applyFill="1" applyBorder="1" applyAlignment="1">
      <alignment horizontal="center"/>
      <protection/>
    </xf>
    <xf numFmtId="0" fontId="5" fillId="0" borderId="15" xfId="57" applyFont="1" applyFill="1" applyBorder="1" applyAlignment="1">
      <alignment horizontal="center"/>
      <protection/>
    </xf>
    <xf numFmtId="0" fontId="5" fillId="0" borderId="34" xfId="57" applyFont="1" applyFill="1" applyBorder="1" applyAlignment="1">
      <alignment horizontal="center"/>
      <protection/>
    </xf>
    <xf numFmtId="0" fontId="5" fillId="0" borderId="35" xfId="57" applyFont="1" applyFill="1" applyBorder="1" applyAlignment="1">
      <alignment horizontal="center"/>
      <protection/>
    </xf>
    <xf numFmtId="0" fontId="5" fillId="0" borderId="0" xfId="57" applyFont="1" applyFill="1" applyBorder="1" applyAlignment="1">
      <alignment horizontal="center"/>
      <protection/>
    </xf>
    <xf numFmtId="0" fontId="5" fillId="0" borderId="36" xfId="57" applyFont="1" applyFill="1" applyBorder="1" applyAlignment="1">
      <alignment horizontal="center"/>
      <protection/>
    </xf>
    <xf numFmtId="0" fontId="5" fillId="0" borderId="37" xfId="57" applyFont="1" applyFill="1" applyBorder="1" applyAlignment="1">
      <alignment horizontal="center"/>
      <protection/>
    </xf>
    <xf numFmtId="179" fontId="5" fillId="0" borderId="38" xfId="57" applyNumberFormat="1" applyFont="1" applyFill="1" applyBorder="1" applyAlignment="1">
      <alignment horizontal="right"/>
      <protection/>
    </xf>
    <xf numFmtId="179" fontId="5" fillId="0" borderId="39" xfId="57" applyNumberFormat="1" applyFont="1" applyFill="1" applyBorder="1" applyAlignment="1">
      <alignment horizontal="right"/>
      <protection/>
    </xf>
    <xf numFmtId="180" fontId="5" fillId="0" borderId="0" xfId="57" applyNumberFormat="1" applyFont="1" applyFill="1" applyBorder="1" applyAlignment="1">
      <alignment horizontal="right"/>
      <protection/>
    </xf>
    <xf numFmtId="4" fontId="5" fillId="0" borderId="0" xfId="57" applyNumberFormat="1" applyFont="1" applyFill="1" applyBorder="1">
      <alignment/>
      <protection/>
    </xf>
    <xf numFmtId="178" fontId="5" fillId="0" borderId="0" xfId="57" applyNumberFormat="1" applyFont="1" applyFill="1" applyBorder="1">
      <alignment/>
      <protection/>
    </xf>
    <xf numFmtId="0" fontId="5" fillId="0" borderId="0" xfId="57" applyFont="1" applyFill="1" applyBorder="1" applyAlignment="1">
      <alignment/>
      <protection/>
    </xf>
    <xf numFmtId="179" fontId="5" fillId="0" borderId="0" xfId="57" applyNumberFormat="1" applyFont="1" applyFill="1" applyBorder="1" applyAlignment="1">
      <alignment horizontal="right"/>
      <protection/>
    </xf>
    <xf numFmtId="179" fontId="5" fillId="0" borderId="15" xfId="57" applyNumberFormat="1" applyFont="1" applyFill="1" applyBorder="1" applyAlignment="1">
      <alignment horizontal="right"/>
      <protection/>
    </xf>
    <xf numFmtId="3" fontId="5" fillId="0" borderId="0" xfId="57" applyNumberFormat="1" applyFont="1" applyFill="1">
      <alignment/>
      <protection/>
    </xf>
    <xf numFmtId="177" fontId="5" fillId="0" borderId="0" xfId="57" applyNumberFormat="1" applyFont="1" applyFill="1" applyBorder="1">
      <alignment/>
      <protection/>
    </xf>
    <xf numFmtId="3" fontId="5" fillId="0" borderId="0" xfId="57" applyNumberFormat="1" applyFont="1" applyFill="1" applyBorder="1">
      <alignment/>
      <protection/>
    </xf>
    <xf numFmtId="179" fontId="5" fillId="0" borderId="34" xfId="57" applyNumberFormat="1" applyFont="1" applyFill="1" applyBorder="1" applyAlignment="1">
      <alignment horizontal="right"/>
      <protection/>
    </xf>
    <xf numFmtId="179" fontId="5" fillId="0" borderId="35" xfId="57" applyNumberFormat="1" applyFont="1" applyFill="1" applyBorder="1" applyAlignment="1">
      <alignment horizontal="right"/>
      <protection/>
    </xf>
    <xf numFmtId="179" fontId="5" fillId="0" borderId="0" xfId="57" applyNumberFormat="1" applyFont="1" applyFill="1" applyBorder="1" applyAlignment="1">
      <alignment/>
      <protection/>
    </xf>
    <xf numFmtId="179" fontId="5" fillId="0" borderId="15" xfId="57" applyNumberFormat="1" applyFont="1" applyFill="1" applyBorder="1" applyAlignment="1">
      <alignment/>
      <protection/>
    </xf>
    <xf numFmtId="181" fontId="5" fillId="0" borderId="0" xfId="57" applyNumberFormat="1" applyFont="1" applyFill="1" applyBorder="1">
      <alignment/>
      <protection/>
    </xf>
    <xf numFmtId="179" fontId="5" fillId="0" borderId="40" xfId="57" applyNumberFormat="1" applyFont="1" applyFill="1" applyBorder="1" applyAlignment="1">
      <alignment horizontal="right"/>
      <protection/>
    </xf>
    <xf numFmtId="179" fontId="5" fillId="0" borderId="13" xfId="57" applyNumberFormat="1" applyFont="1" applyFill="1" applyBorder="1" applyAlignment="1">
      <alignment horizontal="right"/>
      <protection/>
    </xf>
    <xf numFmtId="179" fontId="5" fillId="0" borderId="41" xfId="57" applyNumberFormat="1" applyFont="1" applyFill="1" applyBorder="1" applyAlignment="1">
      <alignment horizontal="right"/>
      <protection/>
    </xf>
    <xf numFmtId="179" fontId="5" fillId="0" borderId="42" xfId="57" applyNumberFormat="1" applyFont="1" applyFill="1" applyBorder="1" applyAlignment="1">
      <alignment horizontal="right"/>
      <protection/>
    </xf>
    <xf numFmtId="182" fontId="5" fillId="0" borderId="0" xfId="57" applyNumberFormat="1" applyFont="1" applyFill="1" applyBorder="1">
      <alignment/>
      <protection/>
    </xf>
    <xf numFmtId="179" fontId="5" fillId="0" borderId="43" xfId="57" applyNumberFormat="1" applyFont="1" applyFill="1" applyBorder="1" applyAlignment="1">
      <alignment horizontal="right"/>
      <protection/>
    </xf>
    <xf numFmtId="179" fontId="5" fillId="0" borderId="44" xfId="57" applyNumberFormat="1" applyFont="1" applyFill="1" applyBorder="1" applyAlignment="1">
      <alignment horizontal="right"/>
      <protection/>
    </xf>
    <xf numFmtId="179" fontId="5" fillId="0" borderId="38" xfId="57" applyNumberFormat="1" applyFont="1" applyFill="1" applyBorder="1">
      <alignment/>
      <protection/>
    </xf>
    <xf numFmtId="179" fontId="5" fillId="0" borderId="39" xfId="57" applyNumberFormat="1" applyFont="1" applyFill="1" applyBorder="1">
      <alignment/>
      <protection/>
    </xf>
    <xf numFmtId="179" fontId="5" fillId="0" borderId="43" xfId="57" applyNumberFormat="1" applyFont="1" applyFill="1" applyBorder="1">
      <alignment/>
      <protection/>
    </xf>
    <xf numFmtId="179" fontId="5" fillId="0" borderId="44" xfId="57" applyNumberFormat="1" applyFont="1" applyFill="1" applyBorder="1">
      <alignment/>
      <protection/>
    </xf>
    <xf numFmtId="179" fontId="5" fillId="0" borderId="43" xfId="57" applyNumberFormat="1" applyFont="1" applyFill="1" applyBorder="1" applyAlignment="1">
      <alignment/>
      <protection/>
    </xf>
    <xf numFmtId="179" fontId="5" fillId="0" borderId="44" xfId="57" applyNumberFormat="1" applyFont="1" applyFill="1" applyBorder="1" applyAlignment="1">
      <alignment/>
      <protection/>
    </xf>
    <xf numFmtId="179" fontId="5" fillId="0" borderId="34" xfId="57" applyNumberFormat="1" applyFont="1" applyFill="1" applyBorder="1">
      <alignment/>
      <protection/>
    </xf>
    <xf numFmtId="179" fontId="5" fillId="0" borderId="35" xfId="57" applyNumberFormat="1" applyFont="1" applyFill="1" applyBorder="1">
      <alignment/>
      <protection/>
    </xf>
    <xf numFmtId="179" fontId="5" fillId="0" borderId="45" xfId="57" applyNumberFormat="1" applyFont="1" applyFill="1" applyBorder="1">
      <alignment/>
      <protection/>
    </xf>
    <xf numFmtId="179" fontId="5" fillId="0" borderId="46" xfId="57" applyNumberFormat="1" applyFont="1" applyFill="1" applyBorder="1">
      <alignment/>
      <protection/>
    </xf>
    <xf numFmtId="179" fontId="5" fillId="0" borderId="37" xfId="57" applyNumberFormat="1" applyFont="1" applyFill="1" applyBorder="1" applyAlignment="1">
      <alignment horizontal="right" vertical="center"/>
      <protection/>
    </xf>
    <xf numFmtId="179" fontId="5" fillId="0" borderId="36" xfId="57" applyNumberFormat="1" applyFont="1" applyFill="1" applyBorder="1" applyAlignment="1">
      <alignment horizontal="right" vertical="center"/>
      <protection/>
    </xf>
    <xf numFmtId="4" fontId="5" fillId="0" borderId="0" xfId="57" applyNumberFormat="1" applyFont="1" applyFill="1" applyBorder="1" applyAlignment="1">
      <alignment/>
      <protection/>
    </xf>
    <xf numFmtId="0" fontId="0" fillId="0" borderId="18" xfId="0" applyFont="1" applyBorder="1" applyAlignment="1">
      <alignment horizontal="center"/>
    </xf>
    <xf numFmtId="4" fontId="0" fillId="0" borderId="47" xfId="0" applyNumberFormat="1" applyBorder="1" applyAlignment="1">
      <alignment/>
    </xf>
    <xf numFmtId="0" fontId="0" fillId="0" borderId="29" xfId="0" applyBorder="1" applyAlignment="1">
      <alignment horizontal="center"/>
    </xf>
    <xf numFmtId="0" fontId="0" fillId="0" borderId="48" xfId="0" applyBorder="1" applyAlignment="1">
      <alignment horizontal="center"/>
    </xf>
    <xf numFmtId="9" fontId="0" fillId="0" borderId="48" xfId="0" applyNumberFormat="1" applyBorder="1" applyAlignment="1">
      <alignment horizontal="center"/>
    </xf>
    <xf numFmtId="2" fontId="0" fillId="0" borderId="0" xfId="0" applyNumberFormat="1" applyFill="1" applyAlignment="1">
      <alignment/>
    </xf>
    <xf numFmtId="2" fontId="0" fillId="22" borderId="0" xfId="0" applyNumberFormat="1" applyFill="1" applyAlignment="1">
      <alignment/>
    </xf>
    <xf numFmtId="0" fontId="13" fillId="0" borderId="0" xfId="0" applyFont="1" applyAlignment="1">
      <alignment/>
    </xf>
    <xf numFmtId="49" fontId="13" fillId="0" borderId="0" xfId="57" applyNumberFormat="1" applyFont="1" applyFill="1" applyBorder="1" applyAlignment="1">
      <alignment horizontal="left" vertical="center" wrapText="1"/>
      <protection/>
    </xf>
    <xf numFmtId="0" fontId="0" fillId="22" borderId="0" xfId="0" applyNumberFormat="1" applyFill="1" applyAlignment="1" applyProtection="1">
      <alignment/>
      <protection locked="0"/>
    </xf>
    <xf numFmtId="3" fontId="0" fillId="22" borderId="0" xfId="0" applyNumberFormat="1" applyFill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14" fillId="0" borderId="0" xfId="0" applyFont="1" applyAlignment="1">
      <alignment/>
    </xf>
    <xf numFmtId="49" fontId="0" fillId="0" borderId="0" xfId="0" applyNumberFormat="1" applyAlignment="1" applyProtection="1">
      <alignment horizontal="right"/>
      <protection/>
    </xf>
    <xf numFmtId="49" fontId="1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4" fontId="0" fillId="0" borderId="47" xfId="0" applyNumberFormat="1" applyFont="1" applyFill="1" applyBorder="1" applyAlignment="1">
      <alignment horizontal="center"/>
    </xf>
    <xf numFmtId="0" fontId="0" fillId="22" borderId="0" xfId="0" applyFill="1" applyAlignment="1">
      <alignment horizontal="right"/>
    </xf>
    <xf numFmtId="4" fontId="0" fillId="0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49" xfId="0" applyFont="1" applyBorder="1" applyAlignment="1">
      <alignment horizontal="center"/>
    </xf>
    <xf numFmtId="3" fontId="0" fillId="0" borderId="50" xfId="0" applyNumberForma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0" xfId="0" applyNumberFormat="1" applyFont="1" applyBorder="1" applyAlignment="1">
      <alignment/>
    </xf>
    <xf numFmtId="176" fontId="0" fillId="22" borderId="0" xfId="0" applyNumberFormat="1" applyFont="1" applyFill="1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0" fontId="0" fillId="0" borderId="56" xfId="0" applyBorder="1" applyAlignment="1">
      <alignment horizontal="center"/>
    </xf>
    <xf numFmtId="3" fontId="0" fillId="0" borderId="15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57" xfId="0" applyFont="1" applyBorder="1" applyAlignment="1">
      <alignment horizontal="center"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1" fillId="0" borderId="0" xfId="0" applyNumberFormat="1" applyFont="1" applyAlignment="1">
      <alignment/>
    </xf>
    <xf numFmtId="4" fontId="0" fillId="0" borderId="62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4" fontId="0" fillId="0" borderId="64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4" fontId="0" fillId="0" borderId="54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49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Alignment="1" applyProtection="1">
      <alignment/>
      <protection/>
    </xf>
    <xf numFmtId="0" fontId="13" fillId="0" borderId="0" xfId="0" applyFont="1" applyAlignment="1">
      <alignment horizontal="right"/>
    </xf>
    <xf numFmtId="4" fontId="0" fillId="0" borderId="65" xfId="0" applyNumberFormat="1" applyFont="1" applyFill="1" applyBorder="1" applyAlignment="1">
      <alignment horizontal="center"/>
    </xf>
    <xf numFmtId="3" fontId="0" fillId="0" borderId="66" xfId="0" applyNumberForma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1" xfId="0" applyNumberFormat="1" applyFont="1" applyBorder="1" applyAlignment="1">
      <alignment/>
    </xf>
    <xf numFmtId="4" fontId="0" fillId="0" borderId="65" xfId="0" applyNumberFormat="1" applyBorder="1" applyAlignment="1">
      <alignment/>
    </xf>
    <xf numFmtId="3" fontId="0" fillId="0" borderId="59" xfId="0" applyNumberFormat="1" applyFont="1" applyBorder="1" applyAlignment="1">
      <alignment/>
    </xf>
    <xf numFmtId="4" fontId="0" fillId="0" borderId="59" xfId="0" applyNumberFormat="1" applyFont="1" applyBorder="1" applyAlignment="1">
      <alignment/>
    </xf>
    <xf numFmtId="3" fontId="0" fillId="0" borderId="67" xfId="0" applyNumberFormat="1" applyFont="1" applyBorder="1" applyAlignment="1">
      <alignment/>
    </xf>
    <xf numFmtId="4" fontId="1" fillId="0" borderId="6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 quotePrefix="1">
      <alignment/>
    </xf>
    <xf numFmtId="0" fontId="13" fillId="0" borderId="0" xfId="0" applyFont="1" applyFill="1" applyAlignment="1">
      <alignment/>
    </xf>
    <xf numFmtId="0" fontId="10" fillId="22" borderId="0" xfId="53" applyFill="1" applyAlignment="1" applyProtection="1" quotePrefix="1">
      <alignment/>
      <protection locked="0"/>
    </xf>
    <xf numFmtId="4" fontId="7" fillId="0" borderId="0" xfId="61" applyNumberFormat="1" applyFont="1">
      <alignment/>
      <protection/>
    </xf>
    <xf numFmtId="0" fontId="7" fillId="0" borderId="0" xfId="61" applyFont="1">
      <alignment/>
      <protection/>
    </xf>
    <xf numFmtId="2" fontId="5" fillId="0" borderId="68" xfId="61" applyNumberFormat="1" applyFont="1" applyFill="1" applyBorder="1" applyAlignment="1">
      <alignment horizontal="right"/>
      <protection/>
    </xf>
    <xf numFmtId="176" fontId="5" fillId="0" borderId="69" xfId="61" applyNumberFormat="1" applyFont="1" applyFill="1" applyBorder="1" applyAlignment="1">
      <alignment horizontal="right"/>
      <protection/>
    </xf>
    <xf numFmtId="176" fontId="5" fillId="0" borderId="35" xfId="61" applyNumberFormat="1" applyFont="1" applyFill="1" applyBorder="1" applyAlignment="1">
      <alignment horizontal="right"/>
      <protection/>
    </xf>
    <xf numFmtId="176" fontId="5" fillId="0" borderId="39" xfId="61" applyNumberFormat="1" applyFont="1" applyFill="1" applyBorder="1" applyAlignment="1">
      <alignment horizontal="right"/>
      <protection/>
    </xf>
    <xf numFmtId="176" fontId="5" fillId="0" borderId="15" xfId="61" applyNumberFormat="1" applyFont="1" applyFill="1" applyBorder="1" applyAlignment="1">
      <alignment/>
      <protection/>
    </xf>
    <xf numFmtId="176" fontId="5" fillId="0" borderId="70" xfId="61" applyNumberFormat="1" applyFont="1" applyFill="1" applyBorder="1" applyAlignment="1">
      <alignment horizontal="right"/>
      <protection/>
    </xf>
    <xf numFmtId="2" fontId="5" fillId="0" borderId="71" xfId="61" applyNumberFormat="1" applyFont="1" applyFill="1" applyBorder="1" applyAlignment="1">
      <alignment horizontal="right"/>
      <protection/>
    </xf>
    <xf numFmtId="176" fontId="5" fillId="0" borderId="69" xfId="61" applyNumberFormat="1" applyFont="1" applyFill="1" applyBorder="1" applyAlignment="1">
      <alignment/>
      <protection/>
    </xf>
    <xf numFmtId="176" fontId="5" fillId="0" borderId="68" xfId="61" applyNumberFormat="1" applyFont="1" applyFill="1" applyBorder="1" applyAlignment="1">
      <alignment horizontal="right"/>
      <protection/>
    </xf>
    <xf numFmtId="176" fontId="5" fillId="0" borderId="72" xfId="61" applyNumberFormat="1" applyFont="1" applyFill="1" applyBorder="1" applyAlignment="1">
      <alignment horizontal="right"/>
      <protection/>
    </xf>
    <xf numFmtId="176" fontId="5" fillId="0" borderId="39" xfId="61" applyNumberFormat="1" applyFont="1" applyFill="1" applyBorder="1">
      <alignment/>
      <protection/>
    </xf>
    <xf numFmtId="176" fontId="5" fillId="0" borderId="44" xfId="61" applyNumberFormat="1" applyFont="1" applyFill="1" applyBorder="1">
      <alignment/>
      <protection/>
    </xf>
    <xf numFmtId="176" fontId="5" fillId="0" borderId="44" xfId="61" applyNumberFormat="1" applyFont="1" applyFill="1" applyBorder="1" applyAlignment="1">
      <alignment horizontal="right"/>
      <protection/>
    </xf>
    <xf numFmtId="176" fontId="5" fillId="0" borderId="44" xfId="61" applyNumberFormat="1" applyFont="1" applyFill="1" applyBorder="1" applyAlignment="1">
      <alignment/>
      <protection/>
    </xf>
    <xf numFmtId="176" fontId="5" fillId="0" borderId="35" xfId="61" applyNumberFormat="1" applyFont="1" applyFill="1" applyBorder="1">
      <alignment/>
      <protection/>
    </xf>
    <xf numFmtId="176" fontId="5" fillId="0" borderId="73" xfId="61" applyNumberFormat="1" applyFont="1" applyFill="1" applyBorder="1">
      <alignment/>
      <protection/>
    </xf>
    <xf numFmtId="176" fontId="5" fillId="0" borderId="36" xfId="61" applyNumberFormat="1" applyFont="1" applyFill="1" applyBorder="1" applyAlignment="1">
      <alignment horizontal="right" vertical="center"/>
      <protection/>
    </xf>
    <xf numFmtId="0" fontId="5" fillId="0" borderId="0" xfId="60" applyFont="1">
      <alignment/>
      <protection/>
    </xf>
    <xf numFmtId="0" fontId="6" fillId="0" borderId="0" xfId="60" applyFont="1" applyAlignment="1">
      <alignment horizontal="center"/>
      <protection/>
    </xf>
    <xf numFmtId="0" fontId="7" fillId="0" borderId="0" xfId="60" applyFont="1">
      <alignment/>
      <protection/>
    </xf>
    <xf numFmtId="0" fontId="5" fillId="0" borderId="0" xfId="60" applyFont="1">
      <alignment/>
      <protection/>
    </xf>
    <xf numFmtId="4" fontId="5" fillId="0" borderId="33" xfId="60" applyNumberFormat="1" applyFont="1" applyBorder="1" applyAlignment="1">
      <alignment horizontal="center"/>
      <protection/>
    </xf>
    <xf numFmtId="0" fontId="5" fillId="0" borderId="69" xfId="60" applyFont="1" applyBorder="1" applyAlignment="1">
      <alignment horizontal="center"/>
      <protection/>
    </xf>
    <xf numFmtId="0" fontId="5" fillId="0" borderId="74" xfId="60" applyFont="1" applyBorder="1" applyAlignment="1">
      <alignment horizontal="center"/>
      <protection/>
    </xf>
    <xf numFmtId="0" fontId="5" fillId="0" borderId="75" xfId="60" applyFont="1" applyBorder="1" applyAlignment="1">
      <alignment horizontal="center"/>
      <protection/>
    </xf>
    <xf numFmtId="0" fontId="5" fillId="0" borderId="0" xfId="60" applyFont="1" applyBorder="1" applyAlignment="1">
      <alignment/>
      <protection/>
    </xf>
    <xf numFmtId="176" fontId="5" fillId="0" borderId="69" xfId="60" applyNumberFormat="1" applyFont="1" applyFill="1" applyBorder="1" applyAlignment="1">
      <alignment horizontal="right"/>
      <protection/>
    </xf>
    <xf numFmtId="176" fontId="5" fillId="0" borderId="69" xfId="60" applyNumberFormat="1" applyFont="1" applyFill="1" applyBorder="1" applyAlignment="1">
      <alignment/>
      <protection/>
    </xf>
    <xf numFmtId="176" fontId="5" fillId="0" borderId="35" xfId="60" applyNumberFormat="1" applyFont="1" applyFill="1" applyBorder="1" applyAlignment="1">
      <alignment horizontal="right"/>
      <protection/>
    </xf>
    <xf numFmtId="176" fontId="5" fillId="0" borderId="39" xfId="60" applyNumberFormat="1" applyFont="1" applyFill="1" applyBorder="1" applyAlignment="1">
      <alignment horizontal="right"/>
      <protection/>
    </xf>
    <xf numFmtId="176" fontId="5" fillId="0" borderId="15" xfId="60" applyNumberFormat="1" applyFont="1" applyFill="1" applyBorder="1" applyAlignment="1">
      <alignment/>
      <protection/>
    </xf>
    <xf numFmtId="176" fontId="5" fillId="0" borderId="70" xfId="60" applyNumberFormat="1" applyFont="1" applyFill="1" applyBorder="1" applyAlignment="1">
      <alignment horizontal="right"/>
      <protection/>
    </xf>
    <xf numFmtId="176" fontId="5" fillId="0" borderId="68" xfId="60" applyNumberFormat="1" applyFont="1" applyFill="1" applyBorder="1" applyAlignment="1">
      <alignment horizontal="right"/>
      <protection/>
    </xf>
    <xf numFmtId="176" fontId="5" fillId="0" borderId="72" xfId="60" applyNumberFormat="1" applyFont="1" applyFill="1" applyBorder="1" applyAlignment="1">
      <alignment horizontal="right"/>
      <protection/>
    </xf>
    <xf numFmtId="0" fontId="0" fillId="0" borderId="76" xfId="60" applyFont="1" applyBorder="1" applyAlignment="1">
      <alignment vertical="center" wrapText="1"/>
      <protection/>
    </xf>
    <xf numFmtId="4" fontId="5" fillId="0" borderId="0" xfId="60" applyNumberFormat="1" applyFont="1" applyBorder="1" applyAlignment="1">
      <alignment/>
      <protection/>
    </xf>
    <xf numFmtId="0" fontId="0" fillId="0" borderId="0" xfId="60" applyFont="1" applyBorder="1" applyAlignment="1">
      <alignment vertical="center" wrapText="1"/>
      <protection/>
    </xf>
    <xf numFmtId="0" fontId="5" fillId="0" borderId="0" xfId="60" applyFont="1" applyFill="1">
      <alignment/>
      <protection/>
    </xf>
    <xf numFmtId="0" fontId="6" fillId="0" borderId="0" xfId="60" applyFont="1" applyFill="1" applyAlignment="1">
      <alignment horizontal="center"/>
      <protection/>
    </xf>
    <xf numFmtId="0" fontId="7" fillId="0" borderId="0" xfId="60" applyFont="1" applyFill="1">
      <alignment/>
      <protection/>
    </xf>
    <xf numFmtId="4" fontId="5" fillId="0" borderId="33" xfId="60" applyNumberFormat="1" applyFont="1" applyFill="1" applyBorder="1" applyAlignment="1">
      <alignment horizontal="center"/>
      <protection/>
    </xf>
    <xf numFmtId="0" fontId="5" fillId="0" borderId="69" xfId="60" applyFont="1" applyFill="1" applyBorder="1" applyAlignment="1">
      <alignment horizontal="center"/>
      <protection/>
    </xf>
    <xf numFmtId="0" fontId="5" fillId="0" borderId="74" xfId="60" applyFont="1" applyFill="1" applyBorder="1" applyAlignment="1">
      <alignment horizontal="center"/>
      <protection/>
    </xf>
    <xf numFmtId="0" fontId="5" fillId="0" borderId="75" xfId="60" applyFont="1" applyFill="1" applyBorder="1" applyAlignment="1">
      <alignment horizontal="center"/>
      <protection/>
    </xf>
    <xf numFmtId="0" fontId="5" fillId="0" borderId="0" xfId="60" applyFont="1" applyFill="1" applyBorder="1" applyAlignment="1">
      <alignment/>
      <protection/>
    </xf>
    <xf numFmtId="0" fontId="0" fillId="0" borderId="76" xfId="60" applyFont="1" applyFill="1" applyBorder="1" applyAlignment="1">
      <alignment vertical="center" wrapText="1"/>
      <protection/>
    </xf>
    <xf numFmtId="4" fontId="5" fillId="0" borderId="0" xfId="60" applyNumberFormat="1" applyFont="1" applyFill="1" applyBorder="1" applyAlignment="1">
      <alignment/>
      <protection/>
    </xf>
    <xf numFmtId="0" fontId="0" fillId="0" borderId="0" xfId="60" applyFont="1" applyFill="1" applyBorder="1" applyAlignment="1">
      <alignment vertical="center" wrapText="1"/>
      <protection/>
    </xf>
    <xf numFmtId="4" fontId="0" fillId="0" borderId="77" xfId="0" applyNumberFormat="1" applyBorder="1" applyAlignment="1">
      <alignment/>
    </xf>
    <xf numFmtId="3" fontId="0" fillId="0" borderId="78" xfId="0" applyNumberFormat="1" applyBorder="1" applyAlignment="1">
      <alignment/>
    </xf>
    <xf numFmtId="4" fontId="1" fillId="0" borderId="44" xfId="0" applyNumberFormat="1" applyFont="1" applyBorder="1" applyAlignment="1">
      <alignment/>
    </xf>
    <xf numFmtId="3" fontId="0" fillId="0" borderId="79" xfId="0" applyNumberFormat="1" applyBorder="1" applyAlignment="1">
      <alignment/>
    </xf>
    <xf numFmtId="3" fontId="0" fillId="0" borderId="80" xfId="0" applyNumberFormat="1" applyBorder="1" applyAlignment="1">
      <alignment/>
    </xf>
    <xf numFmtId="3" fontId="0" fillId="0" borderId="81" xfId="0" applyNumberFormat="1" applyBorder="1" applyAlignment="1">
      <alignment/>
    </xf>
    <xf numFmtId="3" fontId="0" fillId="0" borderId="79" xfId="0" applyNumberFormat="1" applyFont="1" applyBorder="1" applyAlignment="1">
      <alignment/>
    </xf>
    <xf numFmtId="4" fontId="1" fillId="0" borderId="42" xfId="0" applyNumberFormat="1" applyFont="1" applyBorder="1" applyAlignment="1">
      <alignment/>
    </xf>
    <xf numFmtId="0" fontId="0" fillId="0" borderId="82" xfId="0" applyFont="1" applyBorder="1" applyAlignment="1">
      <alignment horizontal="center"/>
    </xf>
    <xf numFmtId="4" fontId="0" fillId="0" borderId="83" xfId="0" applyNumberFormat="1" applyBorder="1" applyAlignment="1">
      <alignment/>
    </xf>
    <xf numFmtId="3" fontId="0" fillId="0" borderId="81" xfId="0" applyNumberFormat="1" applyFont="1" applyBorder="1" applyAlignment="1">
      <alignment/>
    </xf>
    <xf numFmtId="3" fontId="0" fillId="0" borderId="84" xfId="0" applyNumberFormat="1" applyFont="1" applyBorder="1" applyAlignment="1">
      <alignment/>
    </xf>
    <xf numFmtId="4" fontId="1" fillId="0" borderId="39" xfId="0" applyNumberFormat="1" applyFont="1" applyBorder="1" applyAlignment="1">
      <alignment/>
    </xf>
    <xf numFmtId="3" fontId="0" fillId="0" borderId="85" xfId="0" applyNumberFormat="1" applyBorder="1" applyAlignment="1">
      <alignment/>
    </xf>
    <xf numFmtId="3" fontId="0" fillId="0" borderId="85" xfId="0" applyNumberFormat="1" applyFont="1" applyBorder="1" applyAlignment="1">
      <alignment/>
    </xf>
    <xf numFmtId="4" fontId="1" fillId="0" borderId="46" xfId="0" applyNumberFormat="1" applyFont="1" applyBorder="1" applyAlignment="1">
      <alignment/>
    </xf>
    <xf numFmtId="0" fontId="0" fillId="0" borderId="86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3" fontId="0" fillId="0" borderId="88" xfId="0" applyNumberFormat="1" applyBorder="1" applyAlignment="1">
      <alignment/>
    </xf>
    <xf numFmtId="3" fontId="0" fillId="0" borderId="26" xfId="0" applyNumberFormat="1" applyBorder="1" applyAlignment="1">
      <alignment/>
    </xf>
    <xf numFmtId="4" fontId="0" fillId="0" borderId="89" xfId="0" applyNumberFormat="1" applyBorder="1" applyAlignment="1">
      <alignment/>
    </xf>
    <xf numFmtId="4" fontId="0" fillId="0" borderId="90" xfId="0" applyNumberForma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91" xfId="0" applyNumberFormat="1" applyBorder="1" applyAlignment="1">
      <alignment/>
    </xf>
    <xf numFmtId="3" fontId="0" fillId="0" borderId="92" xfId="0" applyNumberFormat="1" applyBorder="1" applyAlignment="1">
      <alignment/>
    </xf>
    <xf numFmtId="3" fontId="0" fillId="0" borderId="93" xfId="0" applyNumberFormat="1" applyBorder="1" applyAlignment="1">
      <alignment/>
    </xf>
    <xf numFmtId="3" fontId="0" fillId="0" borderId="94" xfId="0" applyNumberFormat="1" applyBorder="1" applyAlignment="1">
      <alignment/>
    </xf>
    <xf numFmtId="3" fontId="0" fillId="0" borderId="95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52" xfId="0" applyNumberFormat="1" applyBorder="1" applyAlignment="1">
      <alignment/>
    </xf>
    <xf numFmtId="3" fontId="0" fillId="0" borderId="96" xfId="0" applyNumberFormat="1" applyBorder="1" applyAlignment="1">
      <alignment/>
    </xf>
    <xf numFmtId="3" fontId="0" fillId="0" borderId="97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5" fillId="0" borderId="0" xfId="59" applyFont="1" applyAlignment="1">
      <alignment horizontal="justify"/>
      <protection/>
    </xf>
    <xf numFmtId="0" fontId="5" fillId="0" borderId="0" xfId="59" applyFont="1">
      <alignment/>
      <protection/>
    </xf>
    <xf numFmtId="0" fontId="8" fillId="0" borderId="0" xfId="59" applyFont="1" applyAlignment="1">
      <alignment horizontal="center"/>
      <protection/>
    </xf>
    <xf numFmtId="0" fontId="5" fillId="0" borderId="98" xfId="59" applyFont="1" applyBorder="1" applyAlignment="1">
      <alignment horizontal="center" wrapText="1"/>
      <protection/>
    </xf>
    <xf numFmtId="0" fontId="5" fillId="0" borderId="99" xfId="59" applyFont="1" applyBorder="1" applyAlignment="1">
      <alignment horizontal="center" wrapText="1"/>
      <protection/>
    </xf>
    <xf numFmtId="0" fontId="5" fillId="0" borderId="100" xfId="59" applyFont="1" applyBorder="1" applyAlignment="1">
      <alignment horizontal="center" wrapText="1"/>
      <protection/>
    </xf>
    <xf numFmtId="0" fontId="5" fillId="0" borderId="50" xfId="59" applyFont="1" applyBorder="1" applyAlignment="1">
      <alignment wrapText="1"/>
      <protection/>
    </xf>
    <xf numFmtId="0" fontId="5" fillId="0" borderId="50" xfId="59" applyFont="1" applyBorder="1" applyAlignment="1">
      <alignment horizontal="center" wrapText="1"/>
      <protection/>
    </xf>
    <xf numFmtId="0" fontId="5" fillId="0" borderId="44" xfId="59" applyFont="1" applyBorder="1" applyAlignment="1">
      <alignment horizontal="center" wrapText="1"/>
      <protection/>
    </xf>
    <xf numFmtId="0" fontId="5" fillId="0" borderId="59" xfId="59" applyFont="1" applyBorder="1" applyAlignment="1">
      <alignment wrapText="1"/>
      <protection/>
    </xf>
    <xf numFmtId="0" fontId="5" fillId="0" borderId="59" xfId="59" applyFont="1" applyBorder="1" applyAlignment="1">
      <alignment horizontal="center" wrapText="1"/>
      <protection/>
    </xf>
    <xf numFmtId="0" fontId="5" fillId="0" borderId="61" xfId="59" applyFont="1" applyBorder="1" applyAlignment="1">
      <alignment horizontal="center" wrapText="1"/>
      <protection/>
    </xf>
    <xf numFmtId="0" fontId="8" fillId="0" borderId="0" xfId="59" applyFont="1" applyAlignment="1">
      <alignment horizontal="right"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4" fontId="1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 wrapText="1"/>
      <protection/>
    </xf>
    <xf numFmtId="49" fontId="0" fillId="0" borderId="0" xfId="0" applyNumberFormat="1" applyAlignment="1" applyProtection="1">
      <alignment horizontal="right" vertical="center"/>
      <protection/>
    </xf>
    <xf numFmtId="9" fontId="0" fillId="0" borderId="101" xfId="0" applyNumberFormat="1" applyBorder="1" applyAlignment="1">
      <alignment horizontal="center"/>
    </xf>
    <xf numFmtId="3" fontId="0" fillId="0" borderId="102" xfId="0" applyNumberFormat="1" applyFont="1" applyBorder="1" applyAlignment="1">
      <alignment/>
    </xf>
    <xf numFmtId="3" fontId="0" fillId="0" borderId="103" xfId="0" applyNumberFormat="1" applyFont="1" applyBorder="1" applyAlignment="1">
      <alignment/>
    </xf>
    <xf numFmtId="179" fontId="0" fillId="22" borderId="0" xfId="0" applyNumberFormat="1" applyFill="1" applyAlignment="1">
      <alignment/>
    </xf>
    <xf numFmtId="0" fontId="0" fillId="22" borderId="0" xfId="0" applyNumberFormat="1" applyFont="1" applyFill="1" applyAlignment="1" applyProtection="1">
      <alignment horizontal="right"/>
      <protection locked="0"/>
    </xf>
    <xf numFmtId="0" fontId="0" fillId="22" borderId="0" xfId="0" applyNumberFormat="1" applyFill="1" applyAlignment="1" applyProtection="1">
      <alignment horizontal="right"/>
      <protection locked="0"/>
    </xf>
    <xf numFmtId="3" fontId="0" fillId="22" borderId="0" xfId="0" applyNumberFormat="1" applyFill="1" applyAlignment="1" applyProtection="1">
      <alignment horizontal="right"/>
      <protection locked="0"/>
    </xf>
    <xf numFmtId="0" fontId="9" fillId="0" borderId="80" xfId="57" applyFont="1" applyFill="1" applyBorder="1" applyAlignment="1">
      <alignment horizontal="center"/>
      <protection/>
    </xf>
    <xf numFmtId="0" fontId="9" fillId="0" borderId="29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2" xfId="57" applyFont="1" applyFill="1" applyBorder="1" applyAlignment="1">
      <alignment horizontal="center"/>
      <protection/>
    </xf>
    <xf numFmtId="0" fontId="9" fillId="0" borderId="19" xfId="57" applyFont="1" applyFill="1" applyBorder="1" applyAlignment="1">
      <alignment horizontal="center"/>
      <protection/>
    </xf>
    <xf numFmtId="0" fontId="9" fillId="0" borderId="104" xfId="57" applyFont="1" applyFill="1" applyBorder="1" applyAlignment="1">
      <alignment horizontal="center"/>
      <protection/>
    </xf>
    <xf numFmtId="0" fontId="9" fillId="0" borderId="29" xfId="57" applyFont="1" applyFill="1" applyBorder="1" applyAlignment="1">
      <alignment horizontal="center"/>
      <protection/>
    </xf>
    <xf numFmtId="0" fontId="9" fillId="0" borderId="23" xfId="57" applyFont="1" applyFill="1" applyBorder="1" applyAlignment="1">
      <alignment horizontal="center"/>
      <protection/>
    </xf>
    <xf numFmtId="0" fontId="9" fillId="0" borderId="88" xfId="57" applyFont="1" applyFill="1" applyBorder="1" applyAlignment="1">
      <alignment horizontal="center"/>
      <protection/>
    </xf>
    <xf numFmtId="0" fontId="9" fillId="0" borderId="86" xfId="57" applyFont="1" applyFill="1" applyBorder="1" applyAlignment="1">
      <alignment/>
      <protection/>
    </xf>
    <xf numFmtId="0" fontId="9" fillId="0" borderId="38" xfId="57" applyFont="1" applyFill="1" applyBorder="1" applyAlignment="1">
      <alignment/>
      <protection/>
    </xf>
    <xf numFmtId="0" fontId="9" fillId="0" borderId="38" xfId="57" applyFont="1" applyFill="1" applyBorder="1" applyAlignment="1">
      <alignment horizontal="center"/>
      <protection/>
    </xf>
    <xf numFmtId="0" fontId="35" fillId="0" borderId="49" xfId="57" applyFont="1" applyFill="1" applyBorder="1" applyAlignment="1">
      <alignment/>
      <protection/>
    </xf>
    <xf numFmtId="0" fontId="9" fillId="0" borderId="43" xfId="57" applyFont="1" applyFill="1" applyBorder="1" applyAlignment="1">
      <alignment/>
      <protection/>
    </xf>
    <xf numFmtId="0" fontId="9" fillId="0" borderId="43" xfId="57" applyFont="1" applyFill="1" applyBorder="1" applyAlignment="1">
      <alignment horizontal="center"/>
      <protection/>
    </xf>
    <xf numFmtId="0" fontId="9" fillId="0" borderId="81" xfId="57" applyFont="1" applyFill="1" applyBorder="1" applyAlignment="1">
      <alignment/>
      <protection/>
    </xf>
    <xf numFmtId="0" fontId="9" fillId="0" borderId="78" xfId="57" applyFont="1" applyFill="1" applyBorder="1" applyAlignment="1">
      <alignment horizontal="center"/>
      <protection/>
    </xf>
    <xf numFmtId="0" fontId="9" fillId="0" borderId="14" xfId="57" applyFont="1" applyFill="1" applyBorder="1" applyAlignment="1">
      <alignment vertical="center"/>
      <protection/>
    </xf>
    <xf numFmtId="0" fontId="9" fillId="0" borderId="81" xfId="57" applyFont="1" applyFill="1" applyBorder="1" applyAlignment="1">
      <alignment vertical="center"/>
      <protection/>
    </xf>
    <xf numFmtId="0" fontId="9" fillId="0" borderId="14" xfId="57" applyFont="1" applyFill="1" applyBorder="1" applyAlignment="1">
      <alignment horizontal="center"/>
      <protection/>
    </xf>
    <xf numFmtId="0" fontId="9" fillId="0" borderId="81" xfId="57" applyFont="1" applyFill="1" applyBorder="1" applyAlignment="1">
      <alignment horizontal="center"/>
      <protection/>
    </xf>
    <xf numFmtId="0" fontId="9" fillId="0" borderId="26" xfId="57" applyFont="1" applyFill="1" applyBorder="1" applyAlignment="1">
      <alignment/>
      <protection/>
    </xf>
    <xf numFmtId="0" fontId="9" fillId="0" borderId="85" xfId="57" applyFont="1" applyFill="1" applyBorder="1" applyAlignment="1">
      <alignment horizontal="center"/>
      <protection/>
    </xf>
    <xf numFmtId="0" fontId="9" fillId="0" borderId="16" xfId="57" applyFont="1" applyFill="1" applyBorder="1" applyAlignment="1">
      <alignment horizontal="center"/>
      <protection/>
    </xf>
    <xf numFmtId="0" fontId="9" fillId="0" borderId="105" xfId="57" applyFont="1" applyBorder="1" applyAlignment="1">
      <alignment horizontal="center"/>
      <protection/>
    </xf>
    <xf numFmtId="0" fontId="9" fillId="0" borderId="106" xfId="57" applyFont="1" applyBorder="1" applyAlignment="1">
      <alignment horizontal="center"/>
      <protection/>
    </xf>
    <xf numFmtId="0" fontId="9" fillId="0" borderId="19" xfId="57" applyFont="1" applyBorder="1" applyAlignment="1">
      <alignment horizontal="center"/>
      <protection/>
    </xf>
    <xf numFmtId="0" fontId="9" fillId="0" borderId="104" xfId="57" applyFont="1" applyBorder="1" applyAlignment="1">
      <alignment horizontal="center"/>
      <protection/>
    </xf>
    <xf numFmtId="0" fontId="9" fillId="0" borderId="80" xfId="57" applyFont="1" applyBorder="1" applyAlignment="1">
      <alignment horizontal="center"/>
      <protection/>
    </xf>
    <xf numFmtId="0" fontId="9" fillId="0" borderId="0" xfId="57" applyFont="1" applyBorder="1" applyAlignment="1">
      <alignment horizontal="center"/>
      <protection/>
    </xf>
    <xf numFmtId="0" fontId="9" fillId="0" borderId="23" xfId="57" applyFont="1" applyBorder="1" applyAlignment="1">
      <alignment horizontal="center"/>
      <protection/>
    </xf>
    <xf numFmtId="0" fontId="9" fillId="0" borderId="29" xfId="0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0" fontId="9" fillId="0" borderId="107" xfId="57" applyFont="1" applyBorder="1" applyAlignment="1">
      <alignment horizontal="center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2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4" fontId="1" fillId="0" borderId="29" xfId="0" applyNumberFormat="1" applyFont="1" applyBorder="1" applyAlignment="1">
      <alignment/>
    </xf>
    <xf numFmtId="4" fontId="1" fillId="0" borderId="67" xfId="0" applyNumberFormat="1" applyFont="1" applyBorder="1" applyAlignment="1">
      <alignment/>
    </xf>
    <xf numFmtId="0" fontId="0" fillId="0" borderId="35" xfId="0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4" fontId="0" fillId="0" borderId="61" xfId="0" applyNumberFormat="1" applyFont="1" applyBorder="1" applyAlignment="1">
      <alignment/>
    </xf>
    <xf numFmtId="49" fontId="0" fillId="0" borderId="0" xfId="0" applyNumberFormat="1" applyFont="1" applyAlignment="1" applyProtection="1">
      <alignment horizontal="right" vertical="center"/>
      <protection/>
    </xf>
    <xf numFmtId="0" fontId="0" fillId="0" borderId="0" xfId="0" applyBorder="1" applyAlignment="1">
      <alignment horizontal="center"/>
    </xf>
    <xf numFmtId="3" fontId="0" fillId="0" borderId="107" xfId="0" applyNumberFormat="1" applyFont="1" applyBorder="1" applyAlignment="1">
      <alignment/>
    </xf>
    <xf numFmtId="3" fontId="0" fillId="0" borderId="78" xfId="0" applyNumberFormat="1" applyFont="1" applyBorder="1" applyAlignment="1">
      <alignment/>
    </xf>
    <xf numFmtId="3" fontId="0" fillId="0" borderId="108" xfId="0" applyNumberFormat="1" applyFont="1" applyBorder="1" applyAlignment="1">
      <alignment/>
    </xf>
    <xf numFmtId="4" fontId="0" fillId="0" borderId="50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59" xfId="0" applyBorder="1" applyAlignment="1">
      <alignment/>
    </xf>
    <xf numFmtId="4" fontId="0" fillId="0" borderId="79" xfId="0" applyNumberFormat="1" applyFont="1" applyBorder="1" applyAlignment="1">
      <alignment/>
    </xf>
    <xf numFmtId="4" fontId="0" fillId="22" borderId="0" xfId="0" applyNumberFormat="1" applyFill="1" applyAlignment="1" applyProtection="1">
      <alignment/>
      <protection locked="0"/>
    </xf>
    <xf numFmtId="0" fontId="0" fillId="0" borderId="56" xfId="0" applyFont="1" applyBorder="1" applyAlignment="1">
      <alignment horizontal="center"/>
    </xf>
    <xf numFmtId="3" fontId="0" fillId="0" borderId="29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0" xfId="0" applyNumberFormat="1" applyFill="1" applyAlignment="1" applyProtection="1">
      <alignment/>
      <protection locked="0"/>
    </xf>
    <xf numFmtId="0" fontId="9" fillId="0" borderId="109" xfId="57" applyFont="1" applyFill="1" applyBorder="1" applyAlignment="1">
      <alignment horizontal="left" vertical="center" wrapText="1"/>
      <protection/>
    </xf>
    <xf numFmtId="0" fontId="9" fillId="0" borderId="104" xfId="57" applyFont="1" applyFill="1" applyBorder="1" applyAlignment="1">
      <alignment horizontal="left" vertical="center" wrapText="1"/>
      <protection/>
    </xf>
    <xf numFmtId="0" fontId="9" fillId="0" borderId="110" xfId="57" applyFont="1" applyFill="1" applyBorder="1" applyAlignment="1">
      <alignment horizontal="left" vertical="center" wrapText="1"/>
      <protection/>
    </xf>
    <xf numFmtId="0" fontId="9" fillId="0" borderId="108" xfId="57" applyFont="1" applyFill="1" applyBorder="1" applyAlignment="1">
      <alignment horizontal="left" vertical="center" wrapText="1"/>
      <protection/>
    </xf>
    <xf numFmtId="0" fontId="9" fillId="0" borderId="32" xfId="0" applyFont="1" applyBorder="1" applyAlignment="1">
      <alignment horizontal="left" vertical="center" wrapText="1"/>
    </xf>
    <xf numFmtId="0" fontId="9" fillId="0" borderId="104" xfId="0" applyFont="1" applyBorder="1" applyAlignment="1">
      <alignment horizontal="left" vertical="center" wrapText="1"/>
    </xf>
    <xf numFmtId="0" fontId="9" fillId="0" borderId="84" xfId="0" applyFont="1" applyBorder="1" applyAlignment="1">
      <alignment horizontal="left" vertical="center" wrapText="1"/>
    </xf>
    <xf numFmtId="0" fontId="9" fillId="0" borderId="80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111" xfId="57" applyFont="1" applyFill="1" applyBorder="1" applyAlignment="1">
      <alignment horizontal="center" vertical="center" wrapText="1"/>
      <protection/>
    </xf>
    <xf numFmtId="0" fontId="9" fillId="0" borderId="102" xfId="57" applyFont="1" applyFill="1" applyBorder="1" applyAlignment="1">
      <alignment horizontal="center" vertical="center" wrapText="1"/>
      <protection/>
    </xf>
    <xf numFmtId="0" fontId="9" fillId="0" borderId="112" xfId="57" applyFont="1" applyFill="1" applyBorder="1" applyAlignment="1">
      <alignment horizontal="center" vertical="center" wrapText="1"/>
      <protection/>
    </xf>
    <xf numFmtId="0" fontId="7" fillId="0" borderId="0" xfId="61" applyFont="1" applyAlignment="1">
      <alignment horizontal="center"/>
      <protection/>
    </xf>
    <xf numFmtId="4" fontId="5" fillId="0" borderId="113" xfId="57" applyNumberFormat="1" applyFont="1" applyFill="1" applyBorder="1" applyAlignment="1">
      <alignment horizontal="center"/>
      <protection/>
    </xf>
    <xf numFmtId="4" fontId="5" fillId="0" borderId="114" xfId="57" applyNumberFormat="1" applyFont="1" applyFill="1" applyBorder="1" applyAlignment="1">
      <alignment horizontal="center"/>
      <protection/>
    </xf>
    <xf numFmtId="0" fontId="9" fillId="0" borderId="86" xfId="57" applyFont="1" applyFill="1" applyBorder="1" applyAlignment="1">
      <alignment horizontal="left"/>
      <protection/>
    </xf>
    <xf numFmtId="0" fontId="9" fillId="0" borderId="88" xfId="57" applyFont="1" applyFill="1" applyBorder="1" applyAlignment="1">
      <alignment horizontal="left"/>
      <protection/>
    </xf>
    <xf numFmtId="0" fontId="9" fillId="0" borderId="18" xfId="0" applyFont="1" applyBorder="1" applyAlignment="1">
      <alignment horizontal="left" vertical="center"/>
    </xf>
    <xf numFmtId="0" fontId="7" fillId="0" borderId="0" xfId="61" applyFont="1" applyAlignment="1">
      <alignment horizontal="justify" vertical="center" wrapText="1"/>
      <protection/>
    </xf>
    <xf numFmtId="0" fontId="3" fillId="0" borderId="0" xfId="61" applyFont="1" applyAlignment="1">
      <alignment horizontal="center"/>
      <protection/>
    </xf>
    <xf numFmtId="4" fontId="3" fillId="0" borderId="0" xfId="61" applyNumberFormat="1" applyFont="1" applyAlignment="1">
      <alignment horizontal="center"/>
      <protection/>
    </xf>
    <xf numFmtId="0" fontId="9" fillId="0" borderId="109" xfId="0" applyFont="1" applyBorder="1" applyAlignment="1">
      <alignment horizontal="left" vertical="center" wrapText="1"/>
    </xf>
    <xf numFmtId="0" fontId="9" fillId="0" borderId="82" xfId="0" applyFont="1" applyBorder="1" applyAlignment="1">
      <alignment horizontal="left" vertical="center" wrapText="1"/>
    </xf>
    <xf numFmtId="0" fontId="9" fillId="0" borderId="115" xfId="57" applyFont="1" applyFill="1" applyBorder="1" applyAlignment="1">
      <alignment horizontal="center" vertical="center" wrapText="1"/>
      <protection/>
    </xf>
    <xf numFmtId="0" fontId="34" fillId="0" borderId="12" xfId="57" applyFont="1" applyFill="1" applyBorder="1" applyAlignment="1">
      <alignment horizontal="center" vertical="center" wrapText="1"/>
      <protection/>
    </xf>
    <xf numFmtId="0" fontId="34" fillId="0" borderId="16" xfId="57" applyFont="1" applyFill="1" applyBorder="1" applyAlignment="1">
      <alignment horizontal="center" vertical="center" wrapText="1"/>
      <protection/>
    </xf>
    <xf numFmtId="0" fontId="9" fillId="0" borderId="113" xfId="57" applyFont="1" applyFill="1" applyBorder="1" applyAlignment="1">
      <alignment horizontal="left"/>
      <protection/>
    </xf>
    <xf numFmtId="0" fontId="9" fillId="0" borderId="116" xfId="57" applyFont="1" applyFill="1" applyBorder="1" applyAlignment="1">
      <alignment horizontal="left"/>
      <protection/>
    </xf>
    <xf numFmtId="0" fontId="9" fillId="0" borderId="117" xfId="57" applyFont="1" applyFill="1" applyBorder="1" applyAlignment="1">
      <alignment horizontal="center" vertical="center" wrapText="1"/>
      <protection/>
    </xf>
    <xf numFmtId="0" fontId="34" fillId="0" borderId="118" xfId="57" applyFont="1" applyFill="1" applyBorder="1" applyAlignment="1">
      <alignment horizontal="center" vertical="center" wrapText="1"/>
      <protection/>
    </xf>
    <xf numFmtId="0" fontId="34" fillId="0" borderId="119" xfId="57" applyFont="1" applyFill="1" applyBorder="1" applyAlignment="1">
      <alignment horizontal="center" vertical="center" wrapText="1"/>
      <protection/>
    </xf>
    <xf numFmtId="0" fontId="9" fillId="0" borderId="120" xfId="57" applyFont="1" applyFill="1" applyBorder="1" applyAlignment="1">
      <alignment horizontal="center" vertical="center" wrapText="1"/>
      <protection/>
    </xf>
    <xf numFmtId="0" fontId="34" fillId="0" borderId="121" xfId="57" applyFont="1" applyFill="1" applyBorder="1" applyAlignment="1">
      <alignment horizontal="center" vertical="center" wrapText="1"/>
      <protection/>
    </xf>
    <xf numFmtId="0" fontId="9" fillId="0" borderId="17" xfId="57" applyFont="1" applyFill="1" applyBorder="1" applyAlignment="1">
      <alignment horizontal="center" vertical="center" wrapText="1"/>
      <protection/>
    </xf>
    <xf numFmtId="0" fontId="34" fillId="0" borderId="122" xfId="57" applyFont="1" applyFill="1" applyBorder="1" applyAlignment="1">
      <alignment horizontal="center" vertical="center" wrapText="1"/>
      <protection/>
    </xf>
    <xf numFmtId="0" fontId="34" fillId="0" borderId="18" xfId="57" applyFont="1" applyFill="1" applyBorder="1" applyAlignment="1">
      <alignment horizontal="center" vertical="center" wrapText="1"/>
      <protection/>
    </xf>
    <xf numFmtId="0" fontId="34" fillId="0" borderId="19" xfId="57" applyFont="1" applyFill="1" applyBorder="1" applyAlignment="1">
      <alignment horizontal="center" vertical="center" wrapText="1"/>
      <protection/>
    </xf>
    <xf numFmtId="0" fontId="34" fillId="0" borderId="110" xfId="57" applyFont="1" applyFill="1" applyBorder="1" applyAlignment="1">
      <alignment horizontal="center" vertical="center" wrapText="1"/>
      <protection/>
    </xf>
    <xf numFmtId="0" fontId="34" fillId="0" borderId="108" xfId="57" applyFont="1" applyFill="1" applyBorder="1" applyAlignment="1">
      <alignment horizontal="center" vertical="center" wrapText="1"/>
      <protection/>
    </xf>
    <xf numFmtId="49" fontId="9" fillId="0" borderId="111" xfId="57" applyNumberFormat="1" applyFont="1" applyFill="1" applyBorder="1" applyAlignment="1">
      <alignment horizontal="center" vertical="center" wrapText="1"/>
      <protection/>
    </xf>
    <xf numFmtId="0" fontId="34" fillId="0" borderId="102" xfId="57" applyFont="1" applyFill="1" applyBorder="1" applyAlignment="1">
      <alignment horizontal="center" vertical="center" wrapText="1"/>
      <protection/>
    </xf>
    <xf numFmtId="0" fontId="34" fillId="0" borderId="112" xfId="57" applyFont="1" applyFill="1" applyBorder="1" applyAlignment="1">
      <alignment horizontal="center" vertical="center" wrapText="1"/>
      <protection/>
    </xf>
    <xf numFmtId="0" fontId="9" fillId="0" borderId="101" xfId="57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vertical="center"/>
    </xf>
    <xf numFmtId="0" fontId="9" fillId="0" borderId="82" xfId="57" applyFont="1" applyFill="1" applyBorder="1" applyAlignment="1">
      <alignment horizontal="left"/>
      <protection/>
    </xf>
    <xf numFmtId="0" fontId="9" fillId="0" borderId="80" xfId="57" applyFont="1" applyFill="1" applyBorder="1" applyAlignment="1">
      <alignment horizontal="left"/>
      <protection/>
    </xf>
    <xf numFmtId="0" fontId="5" fillId="0" borderId="123" xfId="59" applyFont="1" applyBorder="1" applyAlignment="1">
      <alignment wrapText="1"/>
      <protection/>
    </xf>
    <xf numFmtId="0" fontId="5" fillId="0" borderId="103" xfId="59" applyFont="1" applyBorder="1" applyAlignment="1">
      <alignment wrapText="1"/>
      <protection/>
    </xf>
    <xf numFmtId="0" fontId="5" fillId="0" borderId="0" xfId="59" applyFont="1" applyAlignment="1">
      <alignment horizontal="center"/>
      <protection/>
    </xf>
    <xf numFmtId="0" fontId="5" fillId="0" borderId="0" xfId="59" applyFont="1" applyAlignment="1">
      <alignment horizontal="justify"/>
      <protection/>
    </xf>
    <xf numFmtId="0" fontId="5" fillId="0" borderId="0" xfId="0" applyFont="1" applyAlignment="1">
      <alignment horizontal="justify"/>
    </xf>
    <xf numFmtId="0" fontId="8" fillId="0" borderId="0" xfId="59" applyFont="1" applyAlignment="1">
      <alignment horizontal="center"/>
      <protection/>
    </xf>
    <xf numFmtId="0" fontId="9" fillId="0" borderId="32" xfId="57" applyFont="1" applyBorder="1" applyAlignment="1">
      <alignment horizontal="left" vertical="center" wrapText="1"/>
      <protection/>
    </xf>
    <xf numFmtId="0" fontId="9" fillId="0" borderId="84" xfId="57" applyFont="1" applyBorder="1" applyAlignment="1">
      <alignment horizontal="left" vertical="center" wrapText="1"/>
      <protection/>
    </xf>
    <xf numFmtId="0" fontId="9" fillId="0" borderId="14" xfId="57" applyFont="1" applyBorder="1" applyAlignment="1">
      <alignment horizontal="left" vertical="center" wrapText="1"/>
      <protection/>
    </xf>
    <xf numFmtId="0" fontId="9" fillId="0" borderId="81" xfId="57" applyFont="1" applyBorder="1" applyAlignment="1">
      <alignment horizontal="left" vertical="center" wrapText="1"/>
      <protection/>
    </xf>
    <xf numFmtId="176" fontId="5" fillId="0" borderId="35" xfId="60" applyNumberFormat="1" applyFont="1" applyFill="1" applyBorder="1" applyAlignment="1">
      <alignment horizontal="right" vertical="center"/>
      <protection/>
    </xf>
    <xf numFmtId="176" fontId="5" fillId="0" borderId="39" xfId="60" applyNumberFormat="1" applyFont="1" applyFill="1" applyBorder="1" applyAlignment="1">
      <alignment horizontal="right" vertical="center"/>
      <protection/>
    </xf>
    <xf numFmtId="0" fontId="9" fillId="0" borderId="124" xfId="57" applyFont="1" applyBorder="1" applyAlignment="1">
      <alignment horizontal="center"/>
      <protection/>
    </xf>
    <xf numFmtId="0" fontId="9" fillId="0" borderId="106" xfId="57" applyFont="1" applyBorder="1" applyAlignment="1">
      <alignment horizontal="center"/>
      <protection/>
    </xf>
    <xf numFmtId="0" fontId="9" fillId="0" borderId="125" xfId="0" applyFont="1" applyBorder="1" applyAlignment="1">
      <alignment horizontal="left" vertical="center"/>
    </xf>
    <xf numFmtId="0" fontId="9" fillId="0" borderId="122" xfId="0" applyFont="1" applyBorder="1" applyAlignment="1">
      <alignment horizontal="left" vertical="center"/>
    </xf>
    <xf numFmtId="0" fontId="7" fillId="0" borderId="0" xfId="60" applyFont="1" applyAlignment="1">
      <alignment horizontal="center"/>
      <protection/>
    </xf>
    <xf numFmtId="0" fontId="9" fillId="0" borderId="126" xfId="57" applyFont="1" applyBorder="1" applyAlignment="1">
      <alignment horizontal="center" vertical="center" wrapText="1"/>
      <protection/>
    </xf>
    <xf numFmtId="0" fontId="9" fillId="0" borderId="18" xfId="57" applyFont="1" applyBorder="1" applyAlignment="1">
      <alignment horizontal="center" vertical="center" wrapText="1"/>
      <protection/>
    </xf>
    <xf numFmtId="0" fontId="9" fillId="0" borderId="28" xfId="57" applyFont="1" applyBorder="1" applyAlignment="1">
      <alignment horizontal="left" vertical="center" wrapText="1"/>
      <protection/>
    </xf>
    <xf numFmtId="0" fontId="9" fillId="0" borderId="107" xfId="57" applyFont="1" applyBorder="1" applyAlignment="1">
      <alignment horizontal="left" vertical="center" wrapText="1"/>
      <protection/>
    </xf>
    <xf numFmtId="0" fontId="9" fillId="0" borderId="30" xfId="57" applyFont="1" applyBorder="1" applyAlignment="1">
      <alignment horizontal="left" vertical="center" wrapText="1"/>
      <protection/>
    </xf>
    <xf numFmtId="0" fontId="9" fillId="0" borderId="108" xfId="57" applyFont="1" applyBorder="1" applyAlignment="1">
      <alignment horizontal="left" vertical="center" wrapText="1"/>
      <protection/>
    </xf>
    <xf numFmtId="0" fontId="9" fillId="0" borderId="107" xfId="57" applyFont="1" applyBorder="1" applyAlignment="1">
      <alignment horizontal="center" vertical="center"/>
      <protection/>
    </xf>
    <xf numFmtId="0" fontId="9" fillId="0" borderId="108" xfId="57" applyFont="1" applyBorder="1" applyAlignment="1">
      <alignment horizontal="center" vertical="center"/>
      <protection/>
    </xf>
    <xf numFmtId="176" fontId="5" fillId="0" borderId="63" xfId="60" applyNumberFormat="1" applyFont="1" applyFill="1" applyBorder="1" applyAlignment="1">
      <alignment horizontal="right" vertical="center"/>
      <protection/>
    </xf>
    <xf numFmtId="176" fontId="5" fillId="0" borderId="36" xfId="60" applyNumberFormat="1" applyFont="1" applyFill="1" applyBorder="1" applyAlignment="1">
      <alignment horizontal="right" vertical="center"/>
      <protection/>
    </xf>
    <xf numFmtId="49" fontId="9" fillId="0" borderId="32" xfId="57" applyNumberFormat="1" applyFont="1" applyBorder="1" applyAlignment="1">
      <alignment horizontal="left" vertical="center" wrapText="1"/>
      <protection/>
    </xf>
    <xf numFmtId="49" fontId="9" fillId="0" borderId="29" xfId="57" applyNumberFormat="1" applyFont="1" applyBorder="1" applyAlignment="1">
      <alignment horizontal="left" vertical="center" wrapText="1"/>
      <protection/>
    </xf>
    <xf numFmtId="49" fontId="9" fillId="0" borderId="84" xfId="57" applyNumberFormat="1" applyFont="1" applyBorder="1" applyAlignment="1">
      <alignment horizontal="left" vertical="center" wrapText="1"/>
      <protection/>
    </xf>
    <xf numFmtId="49" fontId="9" fillId="0" borderId="14" xfId="57" applyNumberFormat="1" applyFont="1" applyBorder="1" applyAlignment="1">
      <alignment horizontal="left" vertical="center" wrapText="1"/>
      <protection/>
    </xf>
    <xf numFmtId="49" fontId="9" fillId="0" borderId="12" xfId="57" applyNumberFormat="1" applyFont="1" applyBorder="1" applyAlignment="1">
      <alignment horizontal="left" vertical="center" wrapText="1"/>
      <protection/>
    </xf>
    <xf numFmtId="0" fontId="9" fillId="0" borderId="14" xfId="57" applyFont="1" applyBorder="1" applyAlignment="1">
      <alignment horizontal="center" vertical="center"/>
      <protection/>
    </xf>
    <xf numFmtId="0" fontId="9" fillId="0" borderId="12" xfId="57" applyFont="1" applyBorder="1" applyAlignment="1">
      <alignment horizontal="center" vertical="center"/>
      <protection/>
    </xf>
    <xf numFmtId="49" fontId="9" fillId="0" borderId="81" xfId="57" applyNumberFormat="1" applyFont="1" applyBorder="1" applyAlignment="1">
      <alignment horizontal="left" vertical="center" wrapText="1"/>
      <protection/>
    </xf>
    <xf numFmtId="49" fontId="9" fillId="0" borderId="11" xfId="57" applyNumberFormat="1" applyFont="1" applyBorder="1" applyAlignment="1">
      <alignment horizontal="left" vertical="center" wrapText="1"/>
      <protection/>
    </xf>
    <xf numFmtId="0" fontId="9" fillId="0" borderId="11" xfId="57" applyFont="1" applyBorder="1" applyAlignment="1">
      <alignment horizontal="center" vertical="center"/>
      <protection/>
    </xf>
    <xf numFmtId="0" fontId="9" fillId="0" borderId="81" xfId="57" applyFont="1" applyBorder="1" applyAlignment="1">
      <alignment horizontal="center" vertical="center"/>
      <protection/>
    </xf>
    <xf numFmtId="0" fontId="9" fillId="0" borderId="51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4" fontId="3" fillId="0" borderId="0" xfId="60" applyNumberFormat="1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176" fontId="5" fillId="0" borderId="13" xfId="60" applyNumberFormat="1" applyFont="1" applyFill="1" applyBorder="1" applyAlignment="1">
      <alignment horizontal="right" vertical="center"/>
      <protection/>
    </xf>
    <xf numFmtId="0" fontId="9" fillId="0" borderId="122" xfId="57" applyFont="1" applyBorder="1" applyAlignment="1">
      <alignment horizontal="center" vertical="center" wrapText="1"/>
      <protection/>
    </xf>
    <xf numFmtId="0" fontId="34" fillId="0" borderId="19" xfId="57" applyFont="1" applyBorder="1" applyAlignment="1">
      <alignment horizontal="center" vertical="center" wrapText="1"/>
      <protection/>
    </xf>
    <xf numFmtId="0" fontId="34" fillId="0" borderId="108" xfId="57" applyFont="1" applyBorder="1" applyAlignment="1">
      <alignment horizontal="center" vertical="center" wrapText="1"/>
      <protection/>
    </xf>
    <xf numFmtId="0" fontId="34" fillId="0" borderId="18" xfId="57" applyFont="1" applyBorder="1" applyAlignment="1">
      <alignment horizontal="center" vertical="center" wrapText="1"/>
      <protection/>
    </xf>
    <xf numFmtId="0" fontId="9" fillId="0" borderId="28" xfId="0" applyFont="1" applyBorder="1" applyAlignment="1">
      <alignment horizontal="left" vertical="center"/>
    </xf>
    <xf numFmtId="0" fontId="9" fillId="0" borderId="107" xfId="0" applyFont="1" applyBorder="1" applyAlignment="1">
      <alignment horizontal="left" vertical="center"/>
    </xf>
    <xf numFmtId="0" fontId="9" fillId="0" borderId="104" xfId="57" applyFont="1" applyBorder="1" applyAlignment="1">
      <alignment horizontal="center" vertical="center"/>
      <protection/>
    </xf>
    <xf numFmtId="0" fontId="9" fillId="0" borderId="80" xfId="57" applyFont="1" applyBorder="1" applyAlignment="1">
      <alignment horizontal="center" vertical="center"/>
      <protection/>
    </xf>
    <xf numFmtId="0" fontId="7" fillId="0" borderId="0" xfId="60" applyFont="1" applyAlignment="1">
      <alignment horizontal="justify" vertical="center" wrapText="1"/>
      <protection/>
    </xf>
    <xf numFmtId="0" fontId="3" fillId="0" borderId="0" xfId="60" applyFont="1" applyAlignment="1">
      <alignment horizontal="center"/>
      <protection/>
    </xf>
    <xf numFmtId="0" fontId="9" fillId="0" borderId="17" xfId="57" applyFont="1" applyBorder="1" applyAlignment="1">
      <alignment horizontal="center" vertical="center" wrapText="1"/>
      <protection/>
    </xf>
    <xf numFmtId="0" fontId="34" fillId="0" borderId="110" xfId="57" applyFont="1" applyBorder="1" applyAlignment="1">
      <alignment horizontal="center" vertical="center" wrapText="1"/>
      <protection/>
    </xf>
    <xf numFmtId="0" fontId="9" fillId="0" borderId="125" xfId="57" applyFont="1" applyBorder="1" applyAlignment="1">
      <alignment horizontal="center" vertical="center" wrapText="1"/>
      <protection/>
    </xf>
    <xf numFmtId="0" fontId="34" fillId="0" borderId="122" xfId="57" applyFont="1" applyBorder="1" applyAlignment="1">
      <alignment horizontal="center" vertical="center" wrapText="1"/>
      <protection/>
    </xf>
    <xf numFmtId="0" fontId="34" fillId="0" borderId="29" xfId="57" applyFont="1" applyBorder="1" applyAlignment="1">
      <alignment horizontal="center" vertical="center" wrapText="1"/>
      <protection/>
    </xf>
    <xf numFmtId="0" fontId="34" fillId="0" borderId="30" xfId="57" applyFont="1" applyBorder="1" applyAlignment="1">
      <alignment horizontal="center" vertical="center" wrapText="1"/>
      <protection/>
    </xf>
    <xf numFmtId="0" fontId="7" fillId="0" borderId="0" xfId="60" applyFont="1" applyFill="1" applyAlignment="1">
      <alignment horizontal="center"/>
      <protection/>
    </xf>
    <xf numFmtId="0" fontId="3" fillId="0" borderId="0" xfId="60" applyFont="1" applyFill="1" applyAlignment="1">
      <alignment horizontal="center"/>
      <protection/>
    </xf>
    <xf numFmtId="4" fontId="3" fillId="0" borderId="0" xfId="60" applyNumberFormat="1" applyFont="1" applyFill="1" applyAlignment="1">
      <alignment horizontal="center"/>
      <protection/>
    </xf>
    <xf numFmtId="0" fontId="7" fillId="0" borderId="0" xfId="60" applyFont="1" applyAlignment="1">
      <alignment horizontal="left" wrapText="1"/>
      <protection/>
    </xf>
    <xf numFmtId="0" fontId="3" fillId="0" borderId="0" xfId="0" applyFont="1" applyAlignment="1" applyProtection="1">
      <alignment horizontal="center"/>
      <protection/>
    </xf>
    <xf numFmtId="0" fontId="1" fillId="0" borderId="127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28" xfId="0" applyFont="1" applyBorder="1" applyAlignment="1">
      <alignment horizontal="center"/>
    </xf>
    <xf numFmtId="3" fontId="1" fillId="0" borderId="129" xfId="0" applyNumberFormat="1" applyFont="1" applyBorder="1" applyAlignment="1">
      <alignment horizontal="center"/>
    </xf>
    <xf numFmtId="0" fontId="1" fillId="0" borderId="130" xfId="0" applyFont="1" applyBorder="1" applyAlignment="1">
      <alignment horizontal="center"/>
    </xf>
    <xf numFmtId="0" fontId="1" fillId="0" borderId="114" xfId="0" applyFont="1" applyBorder="1" applyAlignment="1">
      <alignment horizontal="center"/>
    </xf>
    <xf numFmtId="0" fontId="1" fillId="0" borderId="129" xfId="0" applyFont="1" applyBorder="1" applyAlignment="1">
      <alignment horizontal="center"/>
    </xf>
    <xf numFmtId="0" fontId="1" fillId="0" borderId="131" xfId="0" applyFont="1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8" xfId="0" applyBorder="1" applyAlignment="1">
      <alignment horizontal="center"/>
    </xf>
    <xf numFmtId="3" fontId="1" fillId="0" borderId="130" xfId="0" applyNumberFormat="1" applyFont="1" applyBorder="1" applyAlignment="1">
      <alignment horizontal="center"/>
    </xf>
    <xf numFmtId="3" fontId="1" fillId="0" borderId="114" xfId="0" applyNumberFormat="1" applyFont="1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32" xfId="0" applyBorder="1" applyAlignment="1">
      <alignment horizontal="center"/>
    </xf>
    <xf numFmtId="0" fontId="1" fillId="0" borderId="13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33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127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4" fontId="0" fillId="22" borderId="0" xfId="0" applyNumberFormat="1" applyFont="1" applyFill="1" applyAlignment="1" applyProtection="1">
      <alignment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enovnik" xfId="57"/>
    <cellStyle name="Normal_Cenovnik usluga Dustribucije po PD od 01.03.2010" xfId="58"/>
    <cellStyle name="Normal_Cenovnik usluga Prenosa od 01.01.2008, 01.03.2008 i 01.03.2010" xfId="59"/>
    <cellStyle name="Normal_Cenovnik_Cenovnik usluga Dustribucije po PD od 01.03.2010" xfId="60"/>
    <cellStyle name="Normal_Cenovnik_Copy of Model AERS 2009 povecanje za 10% -1 1 2010-konacan" xfId="61"/>
    <cellStyle name="Note" xfId="62"/>
    <cellStyle name="Output" xfId="63"/>
    <cellStyle name="Percent" xfId="64"/>
    <cellStyle name="Standard_A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152400</xdr:rowOff>
    </xdr:from>
    <xdr:to>
      <xdr:col>3</xdr:col>
      <xdr:colOff>476250</xdr:colOff>
      <xdr:row>7</xdr:row>
      <xdr:rowOff>0</xdr:rowOff>
    </xdr:to>
    <xdr:grpSp>
      <xdr:nvGrpSpPr>
        <xdr:cNvPr id="1" name="Group 13"/>
        <xdr:cNvGrpSpPr>
          <a:grpSpLocks/>
        </xdr:cNvGrpSpPr>
      </xdr:nvGrpSpPr>
      <xdr:grpSpPr>
        <a:xfrm>
          <a:off x="4953000" y="514350"/>
          <a:ext cx="1257300" cy="657225"/>
          <a:chOff x="507" y="54"/>
          <a:chExt cx="132" cy="69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152400</xdr:rowOff>
    </xdr:from>
    <xdr:to>
      <xdr:col>3</xdr:col>
      <xdr:colOff>476250</xdr:colOff>
      <xdr:row>7</xdr:row>
      <xdr:rowOff>0</xdr:rowOff>
    </xdr:to>
    <xdr:grpSp>
      <xdr:nvGrpSpPr>
        <xdr:cNvPr id="1" name="Group 23"/>
        <xdr:cNvGrpSpPr>
          <a:grpSpLocks/>
        </xdr:cNvGrpSpPr>
      </xdr:nvGrpSpPr>
      <xdr:grpSpPr>
        <a:xfrm>
          <a:off x="4914900" y="514350"/>
          <a:ext cx="1257300" cy="657225"/>
          <a:chOff x="503" y="54"/>
          <a:chExt cx="132" cy="69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18"/>
  <sheetViews>
    <sheetView showGridLines="0" tabSelected="1" zoomScalePageLayoutView="0" workbookViewId="0" topLeftCell="A1">
      <selection activeCell="C7" sqref="C7"/>
    </sheetView>
  </sheetViews>
  <sheetFormatPr defaultColWidth="9.140625" defaultRowHeight="12.75"/>
  <cols>
    <col min="1" max="1" width="4.57421875" style="152" customWidth="1"/>
    <col min="2" max="2" width="52.28125" style="103" bestFit="1" customWidth="1"/>
    <col min="3" max="3" width="17.8515625" style="103" customWidth="1"/>
    <col min="4" max="16384" width="9.140625" style="103" customWidth="1"/>
  </cols>
  <sheetData>
    <row r="2" ht="15.75">
      <c r="B2" s="114" t="s">
        <v>61</v>
      </c>
    </row>
    <row r="3" ht="15.75">
      <c r="B3" s="114" t="s">
        <v>62</v>
      </c>
    </row>
    <row r="4" ht="15.75">
      <c r="B4" s="103" t="s">
        <v>102</v>
      </c>
    </row>
    <row r="5" ht="15.75">
      <c r="B5" s="114"/>
    </row>
    <row r="6" spans="1:3" ht="15.75">
      <c r="A6" s="152" t="s">
        <v>63</v>
      </c>
      <c r="B6" s="103" t="s">
        <v>54</v>
      </c>
      <c r="C6" s="165" t="s">
        <v>89</v>
      </c>
    </row>
    <row r="7" spans="1:3" ht="15.75">
      <c r="A7" s="152" t="s">
        <v>64</v>
      </c>
      <c r="B7" s="103" t="s">
        <v>55</v>
      </c>
      <c r="C7" s="165" t="s">
        <v>92</v>
      </c>
    </row>
    <row r="8" spans="1:3" ht="15.75">
      <c r="A8" s="152" t="s">
        <v>65</v>
      </c>
      <c r="B8" s="103" t="s">
        <v>56</v>
      </c>
      <c r="C8" s="165" t="s">
        <v>93</v>
      </c>
    </row>
    <row r="9" spans="1:3" ht="12.75" customHeight="1">
      <c r="A9" s="152" t="s">
        <v>66</v>
      </c>
      <c r="B9" s="104" t="s">
        <v>53</v>
      </c>
      <c r="C9" s="163"/>
    </row>
    <row r="10" spans="1:3" ht="12.75" customHeight="1">
      <c r="A10" s="152" t="s">
        <v>96</v>
      </c>
      <c r="B10" s="104" t="s">
        <v>57</v>
      </c>
      <c r="C10" s="165" t="s">
        <v>90</v>
      </c>
    </row>
    <row r="11" spans="1:3" ht="12.75" customHeight="1">
      <c r="A11" s="152" t="s">
        <v>97</v>
      </c>
      <c r="B11" s="104" t="s">
        <v>58</v>
      </c>
      <c r="C11" s="165" t="s">
        <v>91</v>
      </c>
    </row>
    <row r="12" spans="1:3" ht="12.75" customHeight="1">
      <c r="A12" s="152" t="s">
        <v>98</v>
      </c>
      <c r="B12" s="104" t="s">
        <v>59</v>
      </c>
      <c r="C12" s="164"/>
    </row>
    <row r="13" spans="1:3" ht="12.75" customHeight="1">
      <c r="A13" s="152" t="s">
        <v>99</v>
      </c>
      <c r="B13" s="104" t="s">
        <v>60</v>
      </c>
      <c r="C13" s="164"/>
    </row>
    <row r="14" spans="1:3" ht="12.75" customHeight="1">
      <c r="A14" s="152" t="s">
        <v>67</v>
      </c>
      <c r="B14" s="104" t="s">
        <v>94</v>
      </c>
      <c r="C14" s="164"/>
    </row>
    <row r="15" spans="1:3" ht="15.75">
      <c r="A15" s="152" t="s">
        <v>100</v>
      </c>
      <c r="B15" s="104" t="s">
        <v>95</v>
      </c>
      <c r="C15" s="164"/>
    </row>
    <row r="17" ht="15.75">
      <c r="B17" s="114" t="s">
        <v>103</v>
      </c>
    </row>
    <row r="18" ht="15.75">
      <c r="B18" s="103" t="s">
        <v>104</v>
      </c>
    </row>
  </sheetData>
  <sheetProtection password="99F5" sheet="1" objects="1" scenarios="1" selectLockedCells="1"/>
  <hyperlinks>
    <hyperlink ref="C6" location="'Visoki napon'!C5" display="'Visoki napon'!C5"/>
    <hyperlink ref="C10" location="'ŠP - Jednotarifni'!C5" display="'ŠP - Jednotarifni'!C5"/>
    <hyperlink ref="C11" location="'ŠP - Dvotarifni'!C5" display="ŠP - Dvotarifni'!C5"/>
    <hyperlink ref="C7" location="'Srednji napon'!C5" display="'Srednji napon'!C5"/>
    <hyperlink ref="C8" location="'Niski napon'!C5" display="'Niski napon'!C5"/>
  </hyperlinks>
  <printOptions/>
  <pageMargins left="0.7480314960629921" right="0.7480314960629921" top="0.984251968503937" bottom="0.984251968503937" header="0.5118110236220472" footer="0.5118110236220472"/>
  <pageSetup horizontalDpi="1200" verticalDpi="1200" orientation="portrait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F39"/>
  <sheetViews>
    <sheetView showGridLines="0" showZeros="0" showOutlineSymbols="0" zoomScalePageLayoutView="0" workbookViewId="0" topLeftCell="A1">
      <selection activeCell="C5" sqref="C5"/>
    </sheetView>
  </sheetViews>
  <sheetFormatPr defaultColWidth="9.140625" defaultRowHeight="12.75"/>
  <cols>
    <col min="1" max="1" width="3.57421875" style="108" bestFit="1" customWidth="1"/>
    <col min="2" max="2" width="67.7109375" style="108" customWidth="1"/>
    <col min="3" max="4" width="11.7109375" style="108" customWidth="1"/>
    <col min="5" max="5" width="10.140625" style="108" bestFit="1" customWidth="1"/>
    <col min="6" max="16384" width="9.140625" style="108" customWidth="1"/>
  </cols>
  <sheetData>
    <row r="2" spans="1:6" ht="15.75">
      <c r="A2" s="453" t="s">
        <v>55</v>
      </c>
      <c r="B2" s="453"/>
      <c r="C2" s="453"/>
      <c r="D2" s="453"/>
      <c r="E2" s="107"/>
      <c r="F2" s="107"/>
    </row>
    <row r="4" spans="2:4" ht="12.75">
      <c r="B4" s="117" t="s">
        <v>18</v>
      </c>
      <c r="C4" s="109" t="s">
        <v>23</v>
      </c>
      <c r="D4" s="109" t="s">
        <v>24</v>
      </c>
    </row>
    <row r="5" spans="2:6" ht="12.75">
      <c r="B5" s="108" t="s">
        <v>28</v>
      </c>
      <c r="C5" s="105"/>
      <c r="D5" s="105"/>
      <c r="F5" s="110"/>
    </row>
    <row r="6" spans="2:6" ht="12.75">
      <c r="B6" s="108" t="s">
        <v>29</v>
      </c>
      <c r="C6" s="105"/>
      <c r="D6" s="105"/>
      <c r="F6" s="110"/>
    </row>
    <row r="7" spans="2:6" ht="12.75">
      <c r="B7" s="108" t="s">
        <v>30</v>
      </c>
      <c r="C7" s="105"/>
      <c r="D7" s="105"/>
      <c r="F7" s="110"/>
    </row>
    <row r="8" ht="12.75">
      <c r="B8" s="111" t="s">
        <v>88</v>
      </c>
    </row>
    <row r="9" spans="2:4" ht="12.75">
      <c r="B9" s="108" t="s">
        <v>21</v>
      </c>
      <c r="C9" s="106"/>
      <c r="D9" s="106"/>
    </row>
    <row r="10" spans="2:4" ht="12.75">
      <c r="B10" s="108" t="s">
        <v>22</v>
      </c>
      <c r="C10" s="106"/>
      <c r="D10" s="106"/>
    </row>
    <row r="11" ht="12.75">
      <c r="B11" s="111" t="s">
        <v>225</v>
      </c>
    </row>
    <row r="12" spans="2:3" ht="12.75">
      <c r="B12" s="121" t="s">
        <v>222</v>
      </c>
      <c r="C12" s="332"/>
    </row>
    <row r="13" spans="2:3" ht="12.75">
      <c r="B13" s="121" t="s">
        <v>41</v>
      </c>
      <c r="C13" s="332"/>
    </row>
    <row r="14" spans="2:3" ht="12.75">
      <c r="B14" s="111" t="s">
        <v>221</v>
      </c>
      <c r="C14" s="120"/>
    </row>
    <row r="15" spans="2:4" ht="12.75">
      <c r="B15" s="108" t="s">
        <v>21</v>
      </c>
      <c r="C15" s="106"/>
      <c r="D15" s="106"/>
    </row>
    <row r="16" spans="2:4" ht="12.75">
      <c r="B16" s="108" t="s">
        <v>22</v>
      </c>
      <c r="C16" s="106"/>
      <c r="D16" s="106"/>
    </row>
    <row r="17" spans="3:4" ht="12.75">
      <c r="C17" s="340"/>
      <c r="D17" s="340"/>
    </row>
    <row r="18" spans="2:3" ht="12.75">
      <c r="B18" s="111" t="s">
        <v>220</v>
      </c>
      <c r="C18" s="106"/>
    </row>
    <row r="19" spans="2:3" ht="12.75">
      <c r="B19" s="111" t="s">
        <v>27</v>
      </c>
      <c r="C19" s="106"/>
    </row>
    <row r="20" ht="12.75"/>
    <row r="24" ht="12.75">
      <c r="B24" s="111" t="str">
        <f>"Износ рачуна за утрошену електричну енергију у периоду од "&amp;C5&amp;"."&amp;C6&amp;"."&amp;C7&amp;". "&amp;"до "&amp;D5&amp;"."&amp;D6&amp;"."&amp;D7&amp;". године (динара)"</f>
        <v>Износ рачуна за утрошену електричну енергију у периоду од ... до ... године (динара)</v>
      </c>
    </row>
    <row r="25" ht="12.75">
      <c r="B25" s="111"/>
    </row>
    <row r="26" spans="1:3" ht="12.75">
      <c r="A26" s="115" t="s">
        <v>63</v>
      </c>
      <c r="B26" s="108" t="s">
        <v>19</v>
      </c>
      <c r="C26" s="112">
        <f>+'Obracun - El energija'!E54</f>
        <v>0</v>
      </c>
    </row>
    <row r="27" spans="1:3" ht="12.75">
      <c r="A27" s="115" t="s">
        <v>64</v>
      </c>
      <c r="B27" s="121" t="s">
        <v>226</v>
      </c>
      <c r="C27" s="112">
        <f>+'Obracun - El energija'!H54</f>
        <v>0</v>
      </c>
    </row>
    <row r="28" spans="1:3" ht="12.75">
      <c r="A28" s="115" t="s">
        <v>65</v>
      </c>
      <c r="B28" s="108" t="s">
        <v>78</v>
      </c>
      <c r="C28" s="112">
        <f>+'Obracun - El energija'!K54</f>
        <v>0</v>
      </c>
    </row>
    <row r="29" spans="1:4" ht="12.75">
      <c r="A29" s="150" t="s">
        <v>66</v>
      </c>
      <c r="B29" s="121" t="s">
        <v>216</v>
      </c>
      <c r="C29" s="112">
        <f>+'Obracun - El energija'!N54</f>
        <v>0</v>
      </c>
      <c r="D29" s="112"/>
    </row>
    <row r="30" spans="1:4" ht="12.75">
      <c r="A30" s="150" t="s">
        <v>67</v>
      </c>
      <c r="B30" s="121" t="s">
        <v>213</v>
      </c>
      <c r="C30" s="112">
        <f>+'Obracun - El energija'!$O$54</f>
        <v>0</v>
      </c>
      <c r="D30" s="112"/>
    </row>
    <row r="31" spans="1:3" ht="12.75">
      <c r="A31" s="116" t="s">
        <v>68</v>
      </c>
      <c r="B31" s="111" t="s">
        <v>219</v>
      </c>
      <c r="C31" s="113">
        <f>+'Obracun - El energija'!P54</f>
        <v>0</v>
      </c>
    </row>
    <row r="32" spans="1:3" ht="12.75">
      <c r="A32" s="150" t="s">
        <v>69</v>
      </c>
      <c r="B32" s="121" t="s">
        <v>212</v>
      </c>
      <c r="C32" s="112">
        <f>+'Obracun - El energija'!Q54</f>
        <v>0</v>
      </c>
    </row>
    <row r="33" spans="1:3" ht="12.75">
      <c r="A33" s="116" t="s">
        <v>70</v>
      </c>
      <c r="B33" s="111" t="s">
        <v>227</v>
      </c>
      <c r="C33" s="113">
        <f>+'Obracun - El energija'!R54</f>
        <v>0</v>
      </c>
    </row>
    <row r="34" ht="12.75"/>
    <row r="35" ht="12.75">
      <c r="B35" s="111" t="s">
        <v>150</v>
      </c>
    </row>
    <row r="36" ht="12.75"/>
    <row r="37" spans="1:3" ht="12.75">
      <c r="A37" s="265" t="s">
        <v>63</v>
      </c>
      <c r="B37" s="263" t="s">
        <v>140</v>
      </c>
      <c r="C37" s="266">
        <f>IF('Obracun - El energija'!$C$65=6,0,CHOOSE('Obracun - El energija'!$C$65,'Obracun - El energija'!$N$63,'Obracun - El energija'!$N$64,'Obracun - El energija'!$N$65,'Obracun - El energija'!$N$66,'Obracun - El energija'!$N$67))</f>
        <v>0</v>
      </c>
    </row>
    <row r="38" spans="1:3" ht="12.75">
      <c r="A38" s="262" t="s">
        <v>64</v>
      </c>
      <c r="B38" s="108" t="str">
        <f>+B32</f>
        <v>Порез (ПДВ) 20%</v>
      </c>
      <c r="C38" s="266">
        <f>IF('Obracun - El energija'!$C$65=6,0,CHOOSE('Obracun - El energija'!$C$65,'Obracun - El energija'!$O$63,'Obracun - El energija'!$O$64,'Obracun - El energija'!$O$65,'Obracun - El energija'!$O$66,'Obracun - El energija'!$O$67))</f>
        <v>0</v>
      </c>
    </row>
    <row r="39" spans="1:3" ht="12.75">
      <c r="A39" s="265" t="s">
        <v>65</v>
      </c>
      <c r="B39" s="263" t="s">
        <v>148</v>
      </c>
      <c r="C39" s="266">
        <f>+C37+C38</f>
        <v>0</v>
      </c>
    </row>
  </sheetData>
  <sheetProtection password="DC64" sheet="1" selectLockedCells="1"/>
  <mergeCells count="1">
    <mergeCell ref="A2:D2"/>
  </mergeCells>
  <dataValidations count="8">
    <dataValidation errorStyle="warning" type="whole" operator="greaterThanOrEqual" allowBlank="1" showErrorMessage="1" promptTitle="Година претходног читања" prompt="Унесите годину" errorTitle="Година претходног читања" error="Тарифни систем је почео да се примењује од 2008. године. За претходне године се није примењивао овај обрачун. Година новог читања не може бити мања од године претходног читања." sqref="D7">
      <formula1>C7</formula1>
    </dataValidation>
    <dataValidation errorStyle="warning" type="whole" operator="lessThanOrEqual" allowBlank="1" showErrorMessage="1" promptTitle="Година претходног читања" prompt="Унесите годину" errorTitle="Година претходног читања" error="Тарифни систем је почео да се примењује од 2008. године. За претходне године се није примењивао овај обрачун. Година претходног читања не може бити већа од године новог читања." sqref="C7">
      <formula1>D7</formula1>
    </dataValidation>
    <dataValidation errorStyle="warning" type="whole" operator="greaterThanOrEqual" allowBlank="1" showErrorMessage="1" promptTitle="Ново читање" prompt="Унесите активну енергију" errorTitle="Ново читање" error="Количина новог читања не може бити мања од количине претходног читања." sqref="D9:D10 D15:D17">
      <formula1>C9</formula1>
    </dataValidation>
    <dataValidation errorStyle="warning" type="whole" operator="lessThanOrEqual" allowBlank="1" showErrorMessage="1" promptTitle="Претходно читање" prompt="Унесите активну енергију" errorTitle="Претходно читање" error="Количина претходног читања не може бити већа од количине новог читања." sqref="C9:C10 C15:C17">
      <formula1>D9</formula1>
    </dataValidation>
    <dataValidation errorStyle="warning" type="whole" allowBlank="1" showErrorMessage="1" promptTitle="Дан претходног читања" prompt="Унесите број између 1 и 31" errorTitle="Упозорење" error="Унесите број између 1 и 31" sqref="C5">
      <formula1>1</formula1>
      <formula2>31</formula2>
    </dataValidation>
    <dataValidation errorStyle="warning" type="whole" allowBlank="1" showErrorMessage="1" promptTitle="Дан новог читања" prompt="Унесите број између 1 и 31" errorTitle="Упозорење" error="Унесите број између 1 и 31" sqref="D5">
      <formula1>1</formula1>
      <formula2>31</formula2>
    </dataValidation>
    <dataValidation errorStyle="warning" type="whole" allowBlank="1" showErrorMessage="1" promptTitle="Месец претходног читања" prompt="Унесите број између 1 и 12" errorTitle="Упозорење" error="Унесите број између 1 и 12" sqref="C6">
      <formula1>1</formula1>
      <formula2>12</formula2>
    </dataValidation>
    <dataValidation errorStyle="warning" type="whole" allowBlank="1" showErrorMessage="1" promptTitle="Месец новог читања" prompt="Унесите број између 1 и 12" errorTitle="Упозорење" error="Унесите број између 1 и 12" sqref="D6">
      <formula1>1</formula1>
      <formula2>12</formula2>
    </dataValidation>
  </dataValidations>
  <printOptions horizontalCentered="1" verticalCentered="1"/>
  <pageMargins left="0.5511811023622047" right="0.5511811023622047" top="0.5905511811023623" bottom="0.5905511811023623" header="0.31496062992125984" footer="0.31496062992125984"/>
  <pageSetup fitToHeight="1" fitToWidth="1" horizontalDpi="1200" verticalDpi="1200" orientation="landscape" r:id="rId2"/>
  <headerFooter alignWithMargins="0">
    <oddFooter>&amp;L&amp;D&amp;RАЕРС - Агенција за енергетику Републике Србије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F39"/>
  <sheetViews>
    <sheetView showGridLines="0" showZeros="0" showOutlineSymbols="0" zoomScalePageLayoutView="0" workbookViewId="0" topLeftCell="A1">
      <selection activeCell="C5" sqref="C5"/>
    </sheetView>
  </sheetViews>
  <sheetFormatPr defaultColWidth="9.140625" defaultRowHeight="12.75"/>
  <cols>
    <col min="1" max="1" width="3.57421875" style="108" bestFit="1" customWidth="1"/>
    <col min="2" max="2" width="67.7109375" style="108" customWidth="1"/>
    <col min="3" max="4" width="11.7109375" style="108" customWidth="1"/>
    <col min="5" max="5" width="10.140625" style="108" bestFit="1" customWidth="1"/>
    <col min="6" max="16384" width="9.140625" style="108" customWidth="1"/>
  </cols>
  <sheetData>
    <row r="2" spans="1:6" ht="15.75">
      <c r="A2" s="453" t="s">
        <v>56</v>
      </c>
      <c r="B2" s="453"/>
      <c r="C2" s="453"/>
      <c r="D2" s="453"/>
      <c r="E2" s="107"/>
      <c r="F2" s="107"/>
    </row>
    <row r="4" spans="2:4" ht="12.75">
      <c r="B4" s="117" t="s">
        <v>18</v>
      </c>
      <c r="C4" s="109" t="s">
        <v>23</v>
      </c>
      <c r="D4" s="109" t="s">
        <v>24</v>
      </c>
    </row>
    <row r="5" spans="2:6" ht="12.75">
      <c r="B5" s="108" t="s">
        <v>28</v>
      </c>
      <c r="C5" s="105"/>
      <c r="D5" s="105"/>
      <c r="F5" s="110"/>
    </row>
    <row r="6" spans="2:6" ht="12.75">
      <c r="B6" s="108" t="s">
        <v>29</v>
      </c>
      <c r="C6" s="105"/>
      <c r="D6" s="105"/>
      <c r="F6" s="110"/>
    </row>
    <row r="7" spans="2:6" ht="12.75">
      <c r="B7" s="108" t="s">
        <v>30</v>
      </c>
      <c r="C7" s="105"/>
      <c r="D7" s="105"/>
      <c r="F7" s="110"/>
    </row>
    <row r="8" ht="12.75">
      <c r="B8" s="111" t="s">
        <v>88</v>
      </c>
    </row>
    <row r="9" spans="2:4" ht="12.75">
      <c r="B9" s="108" t="s">
        <v>21</v>
      </c>
      <c r="C9" s="106"/>
      <c r="D9" s="106"/>
    </row>
    <row r="10" spans="2:4" ht="12.75">
      <c r="B10" s="108" t="s">
        <v>22</v>
      </c>
      <c r="C10" s="106"/>
      <c r="D10" s="106"/>
    </row>
    <row r="11" ht="12.75">
      <c r="B11" s="111" t="s">
        <v>225</v>
      </c>
    </row>
    <row r="12" spans="2:3" ht="12.75">
      <c r="B12" s="121" t="s">
        <v>222</v>
      </c>
      <c r="C12" s="106"/>
    </row>
    <row r="13" spans="2:3" ht="12.75">
      <c r="B13" s="121" t="s">
        <v>41</v>
      </c>
      <c r="C13" s="106"/>
    </row>
    <row r="14" spans="2:3" ht="12.75">
      <c r="B14" s="111" t="s">
        <v>221</v>
      </c>
      <c r="C14" s="120"/>
    </row>
    <row r="15" spans="2:4" ht="12.75">
      <c r="B15" s="108" t="s">
        <v>21</v>
      </c>
      <c r="C15" s="106"/>
      <c r="D15" s="106"/>
    </row>
    <row r="16" spans="2:4" ht="12.75">
      <c r="B16" s="108" t="s">
        <v>22</v>
      </c>
      <c r="C16" s="106"/>
      <c r="D16" s="106"/>
    </row>
    <row r="17" ht="12.75">
      <c r="C17" s="137"/>
    </row>
    <row r="18" spans="2:3" ht="12.75">
      <c r="B18" s="111" t="s">
        <v>220</v>
      </c>
      <c r="C18" s="106"/>
    </row>
    <row r="19" spans="2:3" ht="12.75">
      <c r="B19" s="111" t="s">
        <v>27</v>
      </c>
      <c r="C19" s="106"/>
    </row>
    <row r="20" ht="12.75"/>
    <row r="24" ht="12.75">
      <c r="B24" s="111" t="str">
        <f>"Износ рачуна за утрошену електричну енергију у периоду од "&amp;C5&amp;"."&amp;C6&amp;"."&amp;C7&amp;". "&amp;"до "&amp;D5&amp;"."&amp;D6&amp;"."&amp;D7&amp;". године (динара)"</f>
        <v>Износ рачуна за утрошену електричну енергију у периоду од ... до ... године (динара)</v>
      </c>
    </row>
    <row r="25" ht="12.75">
      <c r="B25" s="111"/>
    </row>
    <row r="26" spans="1:3" ht="12.75">
      <c r="A26" s="115" t="s">
        <v>63</v>
      </c>
      <c r="B26" s="108" t="s">
        <v>19</v>
      </c>
      <c r="C26" s="112">
        <f>+'Obracun - El energija'!E55</f>
        <v>0</v>
      </c>
    </row>
    <row r="27" spans="1:3" ht="12.75">
      <c r="A27" s="115" t="s">
        <v>64</v>
      </c>
      <c r="B27" s="121" t="s">
        <v>226</v>
      </c>
      <c r="C27" s="112">
        <f>+'Obracun - El energija'!H55</f>
        <v>0</v>
      </c>
    </row>
    <row r="28" spans="1:3" ht="12.75">
      <c r="A28" s="115" t="s">
        <v>65</v>
      </c>
      <c r="B28" s="108" t="s">
        <v>78</v>
      </c>
      <c r="C28" s="112">
        <f>+'Obracun - El energija'!K55</f>
        <v>0</v>
      </c>
    </row>
    <row r="29" spans="1:3" ht="12.75">
      <c r="A29" s="150" t="s">
        <v>66</v>
      </c>
      <c r="B29" s="121" t="s">
        <v>216</v>
      </c>
      <c r="C29" s="112">
        <f>+'Obracun - El energija'!N55</f>
        <v>0</v>
      </c>
    </row>
    <row r="30" spans="1:3" ht="12.75">
      <c r="A30" s="150" t="s">
        <v>67</v>
      </c>
      <c r="B30" s="121" t="s">
        <v>213</v>
      </c>
      <c r="C30" s="112">
        <f>+'Obracun - El energija'!$O$55</f>
        <v>0</v>
      </c>
    </row>
    <row r="31" spans="1:4" ht="12.75">
      <c r="A31" s="116" t="s">
        <v>68</v>
      </c>
      <c r="B31" s="111" t="s">
        <v>219</v>
      </c>
      <c r="C31" s="113">
        <f>+'Obracun - El energija'!P55</f>
        <v>0</v>
      </c>
      <c r="D31" s="112"/>
    </row>
    <row r="32" spans="1:3" ht="12.75">
      <c r="A32" s="150" t="s">
        <v>69</v>
      </c>
      <c r="B32" s="121" t="s">
        <v>212</v>
      </c>
      <c r="C32" s="112">
        <f>+'Obracun - El energija'!Q55</f>
        <v>0</v>
      </c>
    </row>
    <row r="33" spans="1:3" ht="12.75">
      <c r="A33" s="116" t="s">
        <v>70</v>
      </c>
      <c r="B33" s="111" t="s">
        <v>227</v>
      </c>
      <c r="C33" s="113">
        <f>+'Obracun - El energija'!R55</f>
        <v>0</v>
      </c>
    </row>
    <row r="34" ht="12.75"/>
    <row r="35" ht="12.75">
      <c r="B35" s="111" t="s">
        <v>149</v>
      </c>
    </row>
    <row r="36" ht="12.75"/>
    <row r="37" spans="1:3" ht="12.75">
      <c r="A37" s="265" t="s">
        <v>63</v>
      </c>
      <c r="B37" s="263" t="s">
        <v>140</v>
      </c>
      <c r="C37" s="266">
        <f>IF('Obracun - El energija'!$C$70=6,0,CHOOSE('Obracun - El energija'!$C$70,'Obracun - El energija'!$N$68,'Obracun - El energija'!$N$69,'Obracun - El energija'!$N$70,'Obracun - El energija'!$N$71,'Obracun - El energija'!$N$72))</f>
        <v>0</v>
      </c>
    </row>
    <row r="38" spans="1:3" ht="12.75">
      <c r="A38" s="262" t="s">
        <v>64</v>
      </c>
      <c r="B38" s="108" t="str">
        <f>+B32</f>
        <v>Порез (ПДВ) 20%</v>
      </c>
      <c r="C38" s="266">
        <f>IF('Obracun - El energija'!$C$70=6,0,CHOOSE('Obracun - El energija'!$C$70,'Obracun - El energija'!$O$68,'Obracun - El energija'!$O$69,'Obracun - El energija'!$O$70,'Obracun - El energija'!$O$71,'Obracun - El energija'!$O$72))</f>
        <v>0</v>
      </c>
    </row>
    <row r="39" spans="1:3" ht="12.75">
      <c r="A39" s="265" t="s">
        <v>65</v>
      </c>
      <c r="B39" s="263" t="s">
        <v>148</v>
      </c>
      <c r="C39" s="266">
        <f>+C37+C38</f>
        <v>0</v>
      </c>
    </row>
  </sheetData>
  <sheetProtection password="DC64" sheet="1" selectLockedCells="1"/>
  <mergeCells count="1">
    <mergeCell ref="A2:D2"/>
  </mergeCells>
  <dataValidations count="8">
    <dataValidation errorStyle="warning" type="whole" allowBlank="1" showErrorMessage="1" promptTitle="Дан претходног читања" prompt="Унесите број између 1 и 31" errorTitle="Упозорење" error="Унесите број између 1 и 31" sqref="C5">
      <formula1>1</formula1>
      <formula2>31</formula2>
    </dataValidation>
    <dataValidation errorStyle="warning" type="whole" allowBlank="1" showErrorMessage="1" promptTitle="Дан новог читања" prompt="Унесите број између 1 и 31" errorTitle="Упозорење" error="Унесите број између 1 и 31" sqref="D5">
      <formula1>1</formula1>
      <formula2>31</formula2>
    </dataValidation>
    <dataValidation errorStyle="warning" type="whole" allowBlank="1" showErrorMessage="1" promptTitle="Месец претходног читања" prompt="Унесите број између 1 и 12" errorTitle="Упозорење" error="Унесите број између 1 и 12" sqref="C6">
      <formula1>1</formula1>
      <formula2>12</formula2>
    </dataValidation>
    <dataValidation errorStyle="warning" type="whole" allowBlank="1" showErrorMessage="1" promptTitle="Месец новог читања" prompt="Унесите број између 1 и 12" errorTitle="Упозорење" error="Унесите број између 1 и 12" sqref="D6">
      <formula1>1</formula1>
      <formula2>12</formula2>
    </dataValidation>
    <dataValidation errorStyle="warning" type="whole" operator="greaterThanOrEqual" allowBlank="1" showErrorMessage="1" promptTitle="Година претходног читања" prompt="Унесите годину" errorTitle="Година претходног читања" error="Тарифни систем је почео да се примењује од 2008. године. За претходне године се није примењивао овај обрачун. Година новог читања не може бити мања од године претходног читања." sqref="D7">
      <formula1>C7</formula1>
    </dataValidation>
    <dataValidation errorStyle="warning" type="whole" operator="lessThanOrEqual" allowBlank="1" showErrorMessage="1" promptTitle="Година претходног читања" prompt="Унесите годину" errorTitle="Година претходног читања" error="Тарифни систем је почео да се примењује од 2008. године. За претходне године се није примењивао овај обрачун. Година претходног читања не може бити већа од године новог читања." sqref="C7">
      <formula1>D7</formula1>
    </dataValidation>
    <dataValidation errorStyle="warning" type="whole" operator="greaterThanOrEqual" allowBlank="1" showErrorMessage="1" promptTitle="Ново читање" prompt="Унесите активну енергију" errorTitle="Ново читање" error="Количина новог читања не може бити мања од количине претходног читања." sqref="D9:D10 D15:D16">
      <formula1>C9</formula1>
    </dataValidation>
    <dataValidation errorStyle="warning" type="whole" operator="lessThanOrEqual" allowBlank="1" showErrorMessage="1" promptTitle="Претходно читање" prompt="Унесите активну енергију" errorTitle="Претходно читање" error="Количина претходног читања не може бити већа од количине новог читања." sqref="C9:C10 C15:C16">
      <formula1>D9</formula1>
    </dataValidation>
  </dataValidations>
  <printOptions horizontalCentered="1" verticalCentered="1"/>
  <pageMargins left="0.5511811023622047" right="0.5511811023622047" top="0.5905511811023623" bottom="0.5905511811023623" header="0.31496062992125984" footer="0.31496062992125984"/>
  <pageSetup fitToHeight="1" fitToWidth="1" horizontalDpi="1200" verticalDpi="1200" orientation="landscape" r:id="rId2"/>
  <headerFooter alignWithMargins="0">
    <oddFooter>&amp;L&amp;D&amp;RАЕРС - Агенција за енергетику Републике Србије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F42"/>
  <sheetViews>
    <sheetView showGridLines="0" showZeros="0" showOutlineSymbols="0" zoomScalePageLayoutView="0" workbookViewId="0" topLeftCell="A4">
      <selection activeCell="D9" sqref="D9"/>
    </sheetView>
  </sheetViews>
  <sheetFormatPr defaultColWidth="9.140625" defaultRowHeight="12.75"/>
  <cols>
    <col min="1" max="1" width="3.57421875" style="108" bestFit="1" customWidth="1"/>
    <col min="2" max="2" width="70.7109375" style="108" customWidth="1"/>
    <col min="3" max="4" width="11.7109375" style="108" customWidth="1"/>
    <col min="5" max="5" width="10.140625" style="108" bestFit="1" customWidth="1"/>
    <col min="6" max="16384" width="9.140625" style="108" customWidth="1"/>
  </cols>
  <sheetData>
    <row r="2" spans="1:6" ht="15.75">
      <c r="A2" s="453" t="s">
        <v>75</v>
      </c>
      <c r="B2" s="453"/>
      <c r="C2" s="453"/>
      <c r="D2" s="453"/>
      <c r="E2" s="107"/>
      <c r="F2" s="107"/>
    </row>
    <row r="3" spans="1:6" ht="12.75" customHeight="1">
      <c r="A3" s="107"/>
      <c r="B3" s="107"/>
      <c r="C3" s="107"/>
      <c r="D3" s="107"/>
      <c r="E3" s="107"/>
      <c r="F3" s="107"/>
    </row>
    <row r="4" spans="1:6" ht="12.75" customHeight="1">
      <c r="A4" s="107"/>
      <c r="B4" s="107"/>
      <c r="C4" s="107"/>
      <c r="D4" s="107"/>
      <c r="E4" s="107"/>
      <c r="F4" s="107"/>
    </row>
    <row r="5" spans="1:6" ht="12.75" customHeight="1">
      <c r="A5" s="107"/>
      <c r="B5" s="117" t="s">
        <v>101</v>
      </c>
      <c r="C5" s="107"/>
      <c r="D5" s="107"/>
      <c r="E5" s="107"/>
      <c r="F5" s="107"/>
    </row>
    <row r="6" spans="1:6" ht="12.75" customHeight="1">
      <c r="A6" s="107"/>
      <c r="B6" s="117"/>
      <c r="C6" s="107"/>
      <c r="D6" s="107"/>
      <c r="E6" s="107"/>
      <c r="F6" s="107"/>
    </row>
    <row r="7" ht="12.75"/>
    <row r="8" spans="2:4" ht="12.75">
      <c r="B8" s="117" t="s">
        <v>18</v>
      </c>
      <c r="C8" s="109" t="s">
        <v>23</v>
      </c>
      <c r="D8" s="109" t="s">
        <v>24</v>
      </c>
    </row>
    <row r="9" spans="2:6" ht="12.75">
      <c r="B9" s="108" t="s">
        <v>28</v>
      </c>
      <c r="C9" s="275"/>
      <c r="D9" s="275"/>
      <c r="F9" s="110"/>
    </row>
    <row r="10" spans="2:6" ht="12.75">
      <c r="B10" s="108" t="s">
        <v>29</v>
      </c>
      <c r="C10" s="275"/>
      <c r="D10" s="275"/>
      <c r="F10" s="110"/>
    </row>
    <row r="11" spans="2:6" ht="12.75">
      <c r="B11" s="108" t="s">
        <v>30</v>
      </c>
      <c r="C11" s="275"/>
      <c r="D11" s="275"/>
      <c r="F11" s="110"/>
    </row>
    <row r="12" spans="2:4" ht="12.75">
      <c r="B12" s="111" t="s">
        <v>25</v>
      </c>
      <c r="C12" s="276"/>
      <c r="D12" s="276"/>
    </row>
    <row r="13" spans="2:3" ht="12.75">
      <c r="B13" s="111" t="s">
        <v>26</v>
      </c>
      <c r="C13" s="120"/>
    </row>
    <row r="14" spans="2:3" ht="12.75">
      <c r="B14" s="111" t="s">
        <v>27</v>
      </c>
      <c r="C14" s="106"/>
    </row>
    <row r="15" ht="12.75"/>
    <row r="19" ht="12.75">
      <c r="B19" s="111" t="str">
        <f>"Износ рачуна за утрошену електричну енергију у периоду од "&amp;C9&amp;"."&amp;C10&amp;"."&amp;C11&amp;". "&amp;"до "&amp;D9&amp;"."&amp;D10&amp;"."&amp;D11&amp;". године (динара)"</f>
        <v>Износ рачуна за утрошену електричну енергију у периоду од ... до ... године (динара)</v>
      </c>
    </row>
    <row r="20" ht="12.75">
      <c r="B20" s="111"/>
    </row>
    <row r="21" spans="1:3" ht="12.75">
      <c r="A21" s="115" t="s">
        <v>63</v>
      </c>
      <c r="B21" s="108" t="s">
        <v>19</v>
      </c>
      <c r="C21" s="112">
        <f>+'Obracun - El energija'!N19</f>
        <v>0</v>
      </c>
    </row>
    <row r="22" spans="1:3" ht="12.75">
      <c r="A22" s="115" t="s">
        <v>64</v>
      </c>
      <c r="B22" s="121" t="s">
        <v>41</v>
      </c>
      <c r="C22" s="112">
        <f>+'Obracun - El energija'!P19</f>
        <v>0</v>
      </c>
    </row>
    <row r="23" spans="1:3" ht="12.75">
      <c r="A23" s="115" t="s">
        <v>65</v>
      </c>
      <c r="B23" s="121" t="s">
        <v>216</v>
      </c>
      <c r="C23" s="112">
        <f>+'Obracun - El energija'!O19</f>
        <v>0</v>
      </c>
    </row>
    <row r="24" spans="1:3" ht="12.75">
      <c r="A24" s="116" t="s">
        <v>66</v>
      </c>
      <c r="B24" s="111" t="s">
        <v>73</v>
      </c>
      <c r="C24" s="113">
        <f>+'Obracun - El energija'!Q19</f>
        <v>0</v>
      </c>
    </row>
    <row r="25" spans="1:3" ht="12.75">
      <c r="A25" s="115" t="s">
        <v>67</v>
      </c>
      <c r="B25" s="108" t="s">
        <v>151</v>
      </c>
      <c r="C25" s="482"/>
    </row>
    <row r="26" spans="1:3" ht="12.75">
      <c r="A26" s="115" t="s">
        <v>68</v>
      </c>
      <c r="B26" s="121" t="s">
        <v>213</v>
      </c>
      <c r="C26" s="311">
        <f>+'Obracun - El energija'!V19</f>
        <v>0</v>
      </c>
    </row>
    <row r="27" spans="1:3" ht="12.75">
      <c r="A27" s="116" t="s">
        <v>69</v>
      </c>
      <c r="B27" s="111" t="s">
        <v>217</v>
      </c>
      <c r="C27" s="113">
        <f>+C24-C25-C26</f>
        <v>0</v>
      </c>
    </row>
    <row r="28" spans="1:3" ht="12.75">
      <c r="A28" s="115" t="s">
        <v>70</v>
      </c>
      <c r="B28" s="121" t="s">
        <v>212</v>
      </c>
      <c r="C28" s="112">
        <f>+C27*'Obracun - El energija'!N1</f>
        <v>0</v>
      </c>
    </row>
    <row r="29" spans="1:3" ht="12.75">
      <c r="A29" s="116" t="s">
        <v>71</v>
      </c>
      <c r="B29" s="111" t="s">
        <v>218</v>
      </c>
      <c r="C29" s="113">
        <f>+C27+C28</f>
        <v>0</v>
      </c>
    </row>
    <row r="30" spans="1:3" ht="12.75">
      <c r="A30" s="115" t="s">
        <v>72</v>
      </c>
      <c r="B30" s="108" t="s">
        <v>74</v>
      </c>
      <c r="C30" s="112">
        <f>IF(C24&gt;0,'Obracun - El energija'!$N$4,0)</f>
        <v>0</v>
      </c>
    </row>
    <row r="31" spans="1:3" ht="12.75">
      <c r="A31" s="115" t="s">
        <v>152</v>
      </c>
      <c r="B31" s="108" t="s">
        <v>163</v>
      </c>
      <c r="C31" s="482">
        <v>0</v>
      </c>
    </row>
    <row r="32" spans="1:3" ht="12.75">
      <c r="A32" s="116" t="s">
        <v>153</v>
      </c>
      <c r="B32" s="111" t="s">
        <v>164</v>
      </c>
      <c r="C32" s="113">
        <f>+C29+C30-C31</f>
        <v>0</v>
      </c>
    </row>
    <row r="33" spans="1:3" ht="25.5">
      <c r="A33" s="269" t="s">
        <v>156</v>
      </c>
      <c r="B33" s="268" t="s">
        <v>155</v>
      </c>
      <c r="C33" s="112">
        <f>+'Obracun - El energija'!R19</f>
        <v>0</v>
      </c>
    </row>
    <row r="34" spans="1:3" ht="25.5">
      <c r="A34" s="323" t="s">
        <v>162</v>
      </c>
      <c r="B34" s="268" t="s">
        <v>154</v>
      </c>
      <c r="C34" s="267">
        <f>IF(C24&gt;0,+'Obracun - El energija'!T19,0)</f>
        <v>0</v>
      </c>
    </row>
    <row r="35" ht="12.75"/>
    <row r="36" ht="12.75">
      <c r="B36" s="111" t="s">
        <v>147</v>
      </c>
    </row>
    <row r="37" ht="12.75"/>
    <row r="38" spans="1:3" ht="12.75">
      <c r="A38" s="265" t="s">
        <v>63</v>
      </c>
      <c r="B38" s="263" t="s">
        <v>140</v>
      </c>
      <c r="C38" s="266">
        <f>IF('Obracun - El energija'!$C$29=6,0,CHOOSE('Obracun - El energija'!$C$29,'Obracun - El energija'!$J$27,'Obracun - El energija'!$J$28,'Obracun - El energija'!$J$29,'Obracun - El energija'!$J$30,'Obracun - El energija'!$J$31))</f>
        <v>0</v>
      </c>
    </row>
    <row r="39" spans="1:3" ht="12.75">
      <c r="A39" s="262" t="s">
        <v>64</v>
      </c>
      <c r="B39" s="108" t="str">
        <f>+B31</f>
        <v>Одобрен попуст за РТВ претплату из претходног обрачунског периода</v>
      </c>
      <c r="C39" s="267">
        <f>IF('Obracun - El energija'!$C$29=6,0,CHOOSE('Obracun - El energija'!$C$29,'Obracun - El energija'!$K$27,'Obracun - El energija'!$K$28,'Obracun - El energija'!$K$29,'Obracun - El energija'!$K$30,'Obracun - El energija'!$K$31))</f>
        <v>0</v>
      </c>
    </row>
    <row r="40" spans="1:3" ht="12.75">
      <c r="A40" s="265" t="s">
        <v>65</v>
      </c>
      <c r="B40" s="263" t="s">
        <v>148</v>
      </c>
      <c r="C40" s="266">
        <f>+C38+C39</f>
        <v>0</v>
      </c>
    </row>
    <row r="41" spans="1:3" ht="12.75">
      <c r="A41" s="262"/>
      <c r="C41" s="267"/>
    </row>
    <row r="42" spans="1:3" ht="12.75">
      <c r="A42" s="265"/>
      <c r="B42" s="111"/>
      <c r="C42" s="266"/>
    </row>
  </sheetData>
  <sheetProtection password="DC64" sheet="1" selectLockedCells="1"/>
  <mergeCells count="1">
    <mergeCell ref="A2:D2"/>
  </mergeCells>
  <dataValidations count="8">
    <dataValidation errorStyle="warning" type="whole" operator="greaterThanOrEqual" allowBlank="1" showErrorMessage="1" promptTitle="Година претходног читања" prompt="Унесите годину" errorTitle="Година претходног читања" error="Тарифни систем је почео да се примењује од 2008. године. За претходне године се није примењивао овај обрачун. Година новог читања не може бити мања од године претходног читања." sqref="D11">
      <formula1>C11</formula1>
    </dataValidation>
    <dataValidation errorStyle="warning" type="whole" operator="lessThanOrEqual" allowBlank="1" showErrorMessage="1" promptTitle="Година претходног читања" prompt="Унесите годину" errorTitle="Година претходног читања" error="Тарифни систем је почео да се примењује од 2008. године. За претходне године се није примењивао овај обрачун. Година претходног читања не може бити већа од године новог читања." sqref="C11">
      <formula1>D11</formula1>
    </dataValidation>
    <dataValidation errorStyle="warning" type="whole" operator="greaterThanOrEqual" allowBlank="1" showErrorMessage="1" promptTitle="Ново читање" prompt="Унесите активну енергију" errorTitle="Ново читање" error="Количина новог читања не може бити мања од количине претходног читања." sqref="D12">
      <formula1>C12</formula1>
    </dataValidation>
    <dataValidation errorStyle="warning" type="whole" operator="lessThanOrEqual" allowBlank="1" showErrorMessage="1" promptTitle="Претходно читање" prompt="Унесите активну енергију" errorTitle="Претходно читање" error="Количина претходног читања не може бити већа од количине новог читања." sqref="C12">
      <formula1>D12</formula1>
    </dataValidation>
    <dataValidation errorStyle="warning" type="whole" allowBlank="1" showErrorMessage="1" promptTitle="Дан претходног читања" prompt="Унесите број између 1 и 31" errorTitle="Упозорење" error="Унесите број између 1 и 31" sqref="C9">
      <formula1>1</formula1>
      <formula2>31</formula2>
    </dataValidation>
    <dataValidation errorStyle="warning" type="whole" allowBlank="1" showErrorMessage="1" promptTitle="Дан новог читања" prompt="Унесите број између 1 и 31" errorTitle="Упозорење" error="Унесите број између 1 и 31" sqref="D9">
      <formula1>1</formula1>
      <formula2>31</formula2>
    </dataValidation>
    <dataValidation errorStyle="warning" type="whole" allowBlank="1" showErrorMessage="1" promptTitle="Месец претходног читања" prompt="Унесите број између 1 и 12" errorTitle="Упозорење" error="Унесите број између 1 и 12" sqref="C10">
      <formula1>1</formula1>
      <formula2>12</formula2>
    </dataValidation>
    <dataValidation errorStyle="warning" type="whole" allowBlank="1" showErrorMessage="1" promptTitle="Месец новог читања" prompt="Унесите број између 1 и 12" errorTitle="Упозорење" error="Унесите број између 1 и 12" sqref="D10">
      <formula1>1</formula1>
      <formula2>12</formula2>
    </dataValidation>
  </dataValidations>
  <printOptions horizontalCentered="1" verticalCentered="1"/>
  <pageMargins left="0.5511811023622047" right="0.5511811023622047" top="0.5905511811023623" bottom="0.5905511811023623" header="0.31496062992125984" footer="0.31496062992125984"/>
  <pageSetup fitToHeight="1" fitToWidth="1" horizontalDpi="1200" verticalDpi="1200" orientation="landscape" r:id="rId3"/>
  <headerFooter alignWithMargins="0">
    <oddFooter>&amp;L&amp;D&amp;RАЕРС - Агенција за енергетику Републике Србије</oddFoot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F44"/>
  <sheetViews>
    <sheetView showGridLines="0" showZeros="0" showOutlineSymbols="0" zoomScalePageLayoutView="0" workbookViewId="0" topLeftCell="A1">
      <selection activeCell="C9" sqref="C9"/>
    </sheetView>
  </sheetViews>
  <sheetFormatPr defaultColWidth="9.140625" defaultRowHeight="12.75"/>
  <cols>
    <col min="1" max="1" width="3.57421875" style="108" bestFit="1" customWidth="1"/>
    <col min="2" max="2" width="70.140625" style="108" customWidth="1"/>
    <col min="3" max="4" width="11.7109375" style="108" customWidth="1"/>
    <col min="5" max="5" width="10.140625" style="108" bestFit="1" customWidth="1"/>
    <col min="6" max="16384" width="9.140625" style="108" customWidth="1"/>
  </cols>
  <sheetData>
    <row r="2" spans="1:6" ht="15.75">
      <c r="A2" s="453" t="s">
        <v>52</v>
      </c>
      <c r="B2" s="453"/>
      <c r="C2" s="453"/>
      <c r="D2" s="453"/>
      <c r="E2" s="107"/>
      <c r="F2" s="107"/>
    </row>
    <row r="3" spans="1:6" ht="12.75" customHeight="1">
      <c r="A3" s="107"/>
      <c r="B3" s="107"/>
      <c r="C3" s="107"/>
      <c r="D3" s="107"/>
      <c r="E3" s="107"/>
      <c r="F3" s="107"/>
    </row>
    <row r="4" spans="1:6" ht="12.75" customHeight="1">
      <c r="A4" s="107"/>
      <c r="B4" s="107"/>
      <c r="C4" s="107"/>
      <c r="D4" s="107"/>
      <c r="E4" s="107"/>
      <c r="F4" s="107"/>
    </row>
    <row r="5" spans="1:6" ht="12.75" customHeight="1">
      <c r="A5" s="107"/>
      <c r="B5" s="117" t="s">
        <v>101</v>
      </c>
      <c r="C5" s="107"/>
      <c r="D5" s="107"/>
      <c r="E5" s="107"/>
      <c r="F5" s="107"/>
    </row>
    <row r="6" spans="1:6" ht="12.75" customHeight="1">
      <c r="A6" s="107"/>
      <c r="B6" s="117"/>
      <c r="C6" s="107"/>
      <c r="D6" s="107"/>
      <c r="E6" s="107"/>
      <c r="F6" s="107"/>
    </row>
    <row r="7" ht="12.75"/>
    <row r="8" spans="2:4" ht="12.75">
      <c r="B8" s="117" t="s">
        <v>18</v>
      </c>
      <c r="C8" s="109" t="s">
        <v>23</v>
      </c>
      <c r="D8" s="109" t="s">
        <v>24</v>
      </c>
    </row>
    <row r="9" spans="2:6" ht="12.75">
      <c r="B9" s="108" t="s">
        <v>28</v>
      </c>
      <c r="C9" s="275"/>
      <c r="D9" s="275"/>
      <c r="F9" s="110"/>
    </row>
    <row r="10" spans="2:6" ht="12.75">
      <c r="B10" s="108" t="s">
        <v>29</v>
      </c>
      <c r="C10" s="274"/>
      <c r="D10" s="275"/>
      <c r="F10" s="110"/>
    </row>
    <row r="11" spans="2:6" ht="12.75">
      <c r="B11" s="108" t="s">
        <v>30</v>
      </c>
      <c r="C11" s="275"/>
      <c r="D11" s="275"/>
      <c r="F11" s="110"/>
    </row>
    <row r="12" ht="12.75">
      <c r="B12" s="111" t="s">
        <v>25</v>
      </c>
    </row>
    <row r="13" spans="2:4" ht="12.75">
      <c r="B13" s="108" t="s">
        <v>21</v>
      </c>
      <c r="C13" s="106"/>
      <c r="D13" s="106"/>
    </row>
    <row r="14" spans="2:4" ht="12.75">
      <c r="B14" s="108" t="s">
        <v>22</v>
      </c>
      <c r="C14" s="106"/>
      <c r="D14" s="106"/>
    </row>
    <row r="15" spans="2:3" ht="12.75">
      <c r="B15" s="111" t="s">
        <v>26</v>
      </c>
      <c r="C15" s="120"/>
    </row>
    <row r="16" spans="2:3" ht="12.75">
      <c r="B16" s="111" t="s">
        <v>27</v>
      </c>
      <c r="C16" s="106"/>
    </row>
    <row r="17" ht="12.75"/>
    <row r="21" ht="12.75">
      <c r="B21" s="111" t="str">
        <f>"Износ рачуна за утрошену електричну енергију у периоду од "&amp;C9&amp;"."&amp;C10&amp;"."&amp;C11&amp;". "&amp;"до "&amp;D9&amp;"."&amp;D10&amp;"."&amp;D11&amp;". године (динара)"</f>
        <v>Износ рачуна за утрошену електричну енергију у периоду од ... до ... године (динара)</v>
      </c>
    </row>
    <row r="22" ht="12.75">
      <c r="B22" s="111"/>
    </row>
    <row r="23" spans="1:3" ht="12.75">
      <c r="A23" s="115" t="s">
        <v>63</v>
      </c>
      <c r="B23" s="108" t="s">
        <v>19</v>
      </c>
      <c r="C23" s="112">
        <f>+'Obracun - El energija'!N20</f>
        <v>0</v>
      </c>
    </row>
    <row r="24" spans="1:3" ht="12.75">
      <c r="A24" s="115" t="s">
        <v>64</v>
      </c>
      <c r="B24" s="121" t="s">
        <v>41</v>
      </c>
      <c r="C24" s="112">
        <f>+'Obracun - El energija'!P20</f>
        <v>0</v>
      </c>
    </row>
    <row r="25" spans="1:3" ht="12.75">
      <c r="A25" s="115" t="s">
        <v>65</v>
      </c>
      <c r="B25" s="121" t="s">
        <v>216</v>
      </c>
      <c r="C25" s="112">
        <f>+'Obracun - El energija'!O20</f>
        <v>0</v>
      </c>
    </row>
    <row r="26" spans="1:3" ht="12.75">
      <c r="A26" s="116" t="s">
        <v>66</v>
      </c>
      <c r="B26" s="111" t="s">
        <v>73</v>
      </c>
      <c r="C26" s="113">
        <f>+'Obracun - El energija'!Q20</f>
        <v>0</v>
      </c>
    </row>
    <row r="27" spans="1:3" ht="12.75">
      <c r="A27" s="115" t="s">
        <v>67</v>
      </c>
      <c r="B27" s="108" t="s">
        <v>151</v>
      </c>
      <c r="C27" s="482"/>
    </row>
    <row r="28" spans="1:3" ht="12.75">
      <c r="A28" s="115" t="s">
        <v>68</v>
      </c>
      <c r="B28" s="121" t="s">
        <v>213</v>
      </c>
      <c r="C28" s="311">
        <f>+'Obracun - El energija'!V20</f>
        <v>0</v>
      </c>
    </row>
    <row r="29" spans="1:5" ht="12.75">
      <c r="A29" s="116" t="s">
        <v>69</v>
      </c>
      <c r="B29" s="111" t="s">
        <v>217</v>
      </c>
      <c r="C29" s="113">
        <f>+C26-C27+C28</f>
        <v>0</v>
      </c>
      <c r="E29" s="112"/>
    </row>
    <row r="30" spans="1:3" ht="12.75">
      <c r="A30" s="115" t="s">
        <v>70</v>
      </c>
      <c r="B30" s="121" t="s">
        <v>212</v>
      </c>
      <c r="C30" s="112">
        <f>+C29*'Obracun - El energija'!$N$1</f>
        <v>0</v>
      </c>
    </row>
    <row r="31" spans="1:3" ht="12.75">
      <c r="A31" s="116" t="s">
        <v>71</v>
      </c>
      <c r="B31" s="111" t="s">
        <v>218</v>
      </c>
      <c r="C31" s="113">
        <f>+C29+C30</f>
        <v>0</v>
      </c>
    </row>
    <row r="32" spans="1:3" ht="12.75">
      <c r="A32" s="115" t="s">
        <v>72</v>
      </c>
      <c r="B32" s="108" t="s">
        <v>74</v>
      </c>
      <c r="C32" s="112">
        <f>IF(C26&gt;0,'Obracun - El energija'!$N$4,0)</f>
        <v>0</v>
      </c>
    </row>
    <row r="33" spans="1:3" ht="12.75">
      <c r="A33" s="115" t="s">
        <v>152</v>
      </c>
      <c r="B33" s="108" t="s">
        <v>163</v>
      </c>
      <c r="C33" s="482"/>
    </row>
    <row r="34" spans="1:4" ht="12.75">
      <c r="A34" s="116" t="s">
        <v>153</v>
      </c>
      <c r="B34" s="111" t="s">
        <v>164</v>
      </c>
      <c r="C34" s="113">
        <f>+C31+C32-C33</f>
        <v>0</v>
      </c>
      <c r="D34" s="112"/>
    </row>
    <row r="35" spans="1:5" ht="24.75" customHeight="1">
      <c r="A35" s="269" t="s">
        <v>156</v>
      </c>
      <c r="B35" s="268" t="s">
        <v>155</v>
      </c>
      <c r="C35" s="112">
        <f>+'Obracun - El energija'!R20</f>
        <v>0</v>
      </c>
      <c r="E35" s="112"/>
    </row>
    <row r="36" spans="1:3" ht="25.5">
      <c r="A36" s="323" t="s">
        <v>162</v>
      </c>
      <c r="B36" s="268" t="s">
        <v>154</v>
      </c>
      <c r="C36" s="267">
        <f>IF(C26&gt;0,+'Obracun - El energija'!T20,0)</f>
        <v>0</v>
      </c>
    </row>
    <row r="37" ht="12.75"/>
    <row r="38" ht="12.75">
      <c r="B38" s="111" t="s">
        <v>147</v>
      </c>
    </row>
    <row r="39" ht="12.75"/>
    <row r="40" spans="1:3" ht="12.75">
      <c r="A40" s="265" t="s">
        <v>63</v>
      </c>
      <c r="B40" s="263" t="s">
        <v>140</v>
      </c>
      <c r="C40" s="266">
        <f>IF('Obracun - El energija'!$C$34=6,0,CHOOSE('Obracun - El energija'!$C$34,'Obracun - El energija'!$J$32,'Obracun - El energija'!$J$33,'Obracun - El energija'!$J$34,'Obracun - El energija'!$J$35,'Obracun - El energija'!$J$36))</f>
        <v>0</v>
      </c>
    </row>
    <row r="41" spans="1:3" ht="12.75">
      <c r="A41" s="262" t="s">
        <v>64</v>
      </c>
      <c r="B41" s="108" t="str">
        <f>+B30</f>
        <v>Порез (ПДВ) 20%</v>
      </c>
      <c r="C41" s="267">
        <f>IF('Obracun - El energija'!$C$34=6,0,CHOOSE('Obracun - El energija'!$C$34,'Obracun - El energija'!$K$32,'Obracun - El energija'!$K$33,'Obracun - El energija'!$K$34,'Obracun - El energija'!$K$35,'Obracun - El energija'!$K$36))</f>
        <v>0</v>
      </c>
    </row>
    <row r="42" spans="1:3" ht="12.75">
      <c r="A42" s="265" t="s">
        <v>65</v>
      </c>
      <c r="B42" s="263" t="s">
        <v>148</v>
      </c>
      <c r="C42" s="266">
        <f>+C40+C41</f>
        <v>0</v>
      </c>
    </row>
    <row r="43" spans="1:3" ht="12.75">
      <c r="A43" s="262"/>
      <c r="C43" s="267"/>
    </row>
    <row r="44" spans="1:3" ht="12.75">
      <c r="A44" s="265"/>
      <c r="B44" s="111"/>
      <c r="C44" s="266"/>
    </row>
  </sheetData>
  <sheetProtection password="DC64" sheet="1" selectLockedCells="1"/>
  <mergeCells count="1">
    <mergeCell ref="A2:D2"/>
  </mergeCells>
  <dataValidations count="7">
    <dataValidation errorStyle="warning" type="whole" allowBlank="1" showErrorMessage="1" promptTitle="Дан претходног читања" prompt="Унесите број између 1 и 31" errorTitle="Упозорење" error="Унесите број између 1 и 31" sqref="C9">
      <formula1>1</formula1>
      <formula2>31</formula2>
    </dataValidation>
    <dataValidation errorStyle="warning" type="whole" allowBlank="1" showErrorMessage="1" promptTitle="Дан новог читања" prompt="Унесите број између 1 и 31" errorTitle="Упозорење" error="Унесите број између 1 и 31" sqref="D9">
      <formula1>1</formula1>
      <formula2>31</formula2>
    </dataValidation>
    <dataValidation errorStyle="warning" type="whole" allowBlank="1" showErrorMessage="1" promptTitle="Месец претходног читања" prompt="Унесите број између 1 и 12" errorTitle="Упозорење" error="Унесите број између 1 и 12" sqref="C10">
      <formula1>1</formula1>
      <formula2>12</formula2>
    </dataValidation>
    <dataValidation errorStyle="warning" type="whole" allowBlank="1" showErrorMessage="1" promptTitle="Месец новог читања" prompt="Унесите број између 1 и 12" errorTitle="Упозорење" error="Унесите број између 1 и 12" sqref="D10">
      <formula1>1</formula1>
      <formula2>12</formula2>
    </dataValidation>
    <dataValidation errorStyle="warning" operator="lessThanOrEqual" allowBlank="1" showErrorMessage="1" promptTitle="Година претходног читања" prompt="Унесите годину" errorTitle="Година претходног читања" error="Тарифни систем је почео да се примењује од 2008. године. За претходне године се није примењивао овај обрачун. Година претходног читања не може бити већа од године новог читања." sqref="C11:D11"/>
    <dataValidation errorStyle="warning" type="whole" operator="lessThanOrEqual" allowBlank="1" showErrorMessage="1" promptTitle="Претходно читање" prompt="Унесите активну енергију" errorTitle="Претходно читање" error="Количина претходног читања не може бити већа од количине новог читања." sqref="C13:C14">
      <formula1>D13</formula1>
    </dataValidation>
    <dataValidation errorStyle="warning" type="whole" operator="greaterThanOrEqual" allowBlank="1" showErrorMessage="1" promptTitle="Ново читање" prompt="Унесите активну енергију" errorTitle="Ново читање" error="Количина новог читања не може бити мања од количине претходног читања." sqref="D13:D14">
      <formula1>C13</formula1>
    </dataValidation>
  </dataValidations>
  <printOptions horizontalCentered="1" verticalCentered="1"/>
  <pageMargins left="0.5511811023622047" right="0.5511811023622047" top="0.5905511811023623" bottom="0.5905511811023623" header="0.31496062992125984" footer="0.31496062992125984"/>
  <pageSetup fitToHeight="1" fitToWidth="1" horizontalDpi="1200" verticalDpi="1200" orientation="landscape" r:id="rId3"/>
  <headerFooter alignWithMargins="0">
    <oddFooter>&amp;L&amp;D&amp;RАЕРС - Агенција за енергетику Републике Србије</oddFooter>
  </headerFooter>
  <ignoredErrors>
    <ignoredError sqref="A23:A26" numberStoredAsText="1"/>
  </ignoredErrors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Y72"/>
  <sheetViews>
    <sheetView zoomScalePageLayoutView="0" workbookViewId="0" topLeftCell="D37">
      <selection activeCell="R62" sqref="R62"/>
    </sheetView>
  </sheetViews>
  <sheetFormatPr defaultColWidth="9.140625" defaultRowHeight="12.75"/>
  <cols>
    <col min="1" max="1" width="27.421875" style="0" bestFit="1" customWidth="1"/>
    <col min="4" max="4" width="25.28125" style="0" customWidth="1"/>
    <col min="12" max="13" width="9.8515625" style="0" customWidth="1"/>
    <col min="14" max="14" width="11.7109375" style="0" bestFit="1" customWidth="1"/>
    <col min="17" max="17" width="11.00390625" style="0" customWidth="1"/>
    <col min="18" max="18" width="13.7109375" style="0" bestFit="1" customWidth="1"/>
    <col min="19" max="20" width="11.00390625" style="0" customWidth="1"/>
    <col min="21" max="21" width="11.7109375" style="0" bestFit="1" customWidth="1"/>
  </cols>
  <sheetData>
    <row r="1" spans="1:16" ht="12.75">
      <c r="A1">
        <v>1</v>
      </c>
      <c r="B1" s="7"/>
      <c r="D1" s="3" t="s">
        <v>31</v>
      </c>
      <c r="E1" s="465" t="s">
        <v>79</v>
      </c>
      <c r="F1" s="465"/>
      <c r="G1" s="465"/>
      <c r="H1" s="465" t="s">
        <v>6</v>
      </c>
      <c r="I1" s="465"/>
      <c r="J1" s="465"/>
      <c r="K1" s="465" t="s">
        <v>80</v>
      </c>
      <c r="L1" s="465"/>
      <c r="M1" t="s">
        <v>1</v>
      </c>
      <c r="N1" s="102">
        <v>0.2</v>
      </c>
      <c r="P1" s="3"/>
    </row>
    <row r="2" spans="1:14" ht="12.75">
      <c r="A2">
        <v>2</v>
      </c>
      <c r="B2" s="7"/>
      <c r="D2" s="19">
        <v>30</v>
      </c>
      <c r="E2" s="19">
        <v>350</v>
      </c>
      <c r="G2" s="19">
        <v>1600</v>
      </c>
      <c r="H2" s="19">
        <v>5.75</v>
      </c>
      <c r="I2" s="119">
        <v>6.9</v>
      </c>
      <c r="J2" s="119">
        <v>11.04</v>
      </c>
      <c r="K2" s="33" t="s">
        <v>81</v>
      </c>
      <c r="L2" s="129">
        <v>0.95</v>
      </c>
      <c r="M2" t="s">
        <v>165</v>
      </c>
      <c r="N2" s="102">
        <v>0.05</v>
      </c>
    </row>
    <row r="3" spans="1:14" ht="12.75">
      <c r="A3">
        <v>3</v>
      </c>
      <c r="B3" s="7"/>
      <c r="C3" t="s">
        <v>77</v>
      </c>
      <c r="D3" s="43">
        <f>IF(AND('ŠP - Jednotarifni'!$C$9=0,'ŠP - Jednotarifni'!$D$9=0,'ŠP - Jednotarifni'!$C$10=0,'ŠP - Jednotarifni'!$D$10=0,'ŠP - Jednotarifni'!$C$11=0,'ŠP - Jednotarifni'!$D$11=0),0,DATE('ŠP - Jednotarifni'!$D$11,'ŠP - Jednotarifni'!$D$10,'ŠP - Jednotarifni'!$D$9)-DATE('ŠP - Jednotarifni'!$C$11,'ŠP - Jednotarifni'!$C$10,'ŠP - Jednotarifni'!$C$9))</f>
        <v>0</v>
      </c>
      <c r="E3" s="101">
        <f>+D3/$D$2*$E$2</f>
        <v>0</v>
      </c>
      <c r="F3" s="101"/>
      <c r="G3" s="101">
        <f>+D3/$D$2*$G$2</f>
        <v>0</v>
      </c>
      <c r="H3" s="43">
        <v>2</v>
      </c>
      <c r="I3" t="s">
        <v>105</v>
      </c>
      <c r="K3" s="33" t="s">
        <v>82</v>
      </c>
      <c r="L3" s="128">
        <f>SQRT(1-L2*L2)</f>
        <v>0.31224989991991997</v>
      </c>
      <c r="M3" s="312" t="s">
        <v>214</v>
      </c>
      <c r="N3" s="273">
        <v>0.044</v>
      </c>
    </row>
    <row r="4" spans="1:14" ht="12.75">
      <c r="A4">
        <v>4</v>
      </c>
      <c r="B4" s="7"/>
      <c r="C4" t="s">
        <v>76</v>
      </c>
      <c r="D4" s="43">
        <f>IF(AND('ŠP - Dvotarifni'!$C$9=0,'ŠP - Dvotarifni'!$D$9=0,'ŠP - Dvotarifni'!$C$10=0,'ŠP - Dvotarifni'!$D$10=0,'ŠP - Dvotarifni'!$C$11=0,'ŠP - Dvotarifni'!$D$11=0),0,DATE('ŠP - Dvotarifni'!$D$11,'ŠP - Dvotarifni'!$D$10,'ŠP - Dvotarifni'!$D$9)-DATE('ŠP - Dvotarifni'!$C$11,'ŠP - Dvotarifni'!$C$10,'ŠP - Dvotarifni'!$C$9))</f>
        <v>0</v>
      </c>
      <c r="E4" s="101">
        <f>+D4/$D$2*$E$2</f>
        <v>0</v>
      </c>
      <c r="F4" s="101"/>
      <c r="G4" s="101">
        <f>+D4/$D$2*$G$2</f>
        <v>0</v>
      </c>
      <c r="H4" s="10">
        <v>2</v>
      </c>
      <c r="I4" t="s">
        <v>105</v>
      </c>
      <c r="J4" s="10"/>
      <c r="K4" s="31"/>
      <c r="L4" s="31"/>
      <c r="M4" s="10" t="s">
        <v>48</v>
      </c>
      <c r="N4" s="102">
        <v>500</v>
      </c>
    </row>
    <row r="5" spans="1:20" ht="12.75" customHeight="1">
      <c r="A5">
        <v>5</v>
      </c>
      <c r="B5" s="7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15" ht="12.75" customHeight="1" thickBot="1">
      <c r="A6">
        <v>6</v>
      </c>
      <c r="D6" s="1"/>
      <c r="E6" s="1"/>
      <c r="F6" s="3"/>
      <c r="G6" s="3"/>
      <c r="K6" s="3"/>
      <c r="L6" s="3"/>
      <c r="M6" s="3"/>
      <c r="O6" s="10"/>
    </row>
    <row r="7" spans="1:16" s="3" customFormat="1" ht="12.75" customHeight="1" thickTop="1">
      <c r="A7">
        <v>7</v>
      </c>
      <c r="D7" s="21" t="s">
        <v>32</v>
      </c>
      <c r="E7" s="24" t="s">
        <v>5</v>
      </c>
      <c r="F7" s="458" t="s">
        <v>7</v>
      </c>
      <c r="G7" s="458"/>
      <c r="H7" s="458"/>
      <c r="I7" s="458"/>
      <c r="J7" s="458"/>
      <c r="K7" s="458"/>
      <c r="L7" s="458"/>
      <c r="M7" s="458"/>
      <c r="N7" s="458"/>
      <c r="O7" s="458"/>
      <c r="P7" s="459"/>
    </row>
    <row r="8" spans="1:16" ht="12.75">
      <c r="A8">
        <v>8</v>
      </c>
      <c r="D8" s="22" t="s">
        <v>33</v>
      </c>
      <c r="E8" s="25" t="s">
        <v>6</v>
      </c>
      <c r="F8" s="463" t="s">
        <v>2</v>
      </c>
      <c r="G8" s="463"/>
      <c r="H8" s="468"/>
      <c r="I8" s="466" t="s">
        <v>8</v>
      </c>
      <c r="J8" s="466"/>
      <c r="K8" s="467" t="s">
        <v>9</v>
      </c>
      <c r="L8" s="468"/>
      <c r="M8" s="467" t="s">
        <v>10</v>
      </c>
      <c r="N8" s="468"/>
      <c r="O8" s="467" t="s">
        <v>2</v>
      </c>
      <c r="P8" s="478"/>
    </row>
    <row r="9" spans="1:16" ht="12.75" customHeight="1" thickBot="1">
      <c r="A9">
        <v>9</v>
      </c>
      <c r="D9" s="2"/>
      <c r="E9" s="26"/>
      <c r="F9" s="32" t="s">
        <v>17</v>
      </c>
      <c r="G9" s="9" t="s">
        <v>14</v>
      </c>
      <c r="H9" s="9" t="s">
        <v>15</v>
      </c>
      <c r="I9" s="9" t="str">
        <f aca="true" t="shared" si="0" ref="I9:P9">+G9</f>
        <v>VT</v>
      </c>
      <c r="J9" s="9" t="str">
        <f t="shared" si="0"/>
        <v>NT</v>
      </c>
      <c r="K9" s="9" t="str">
        <f t="shared" si="0"/>
        <v>VT</v>
      </c>
      <c r="L9" s="9" t="str">
        <f t="shared" si="0"/>
        <v>NT</v>
      </c>
      <c r="M9" s="9" t="str">
        <f t="shared" si="0"/>
        <v>VT</v>
      </c>
      <c r="N9" s="9" t="str">
        <f t="shared" si="0"/>
        <v>NT</v>
      </c>
      <c r="O9" s="9" t="str">
        <f t="shared" si="0"/>
        <v>VT</v>
      </c>
      <c r="P9" s="12" t="str">
        <f t="shared" si="0"/>
        <v>NT</v>
      </c>
    </row>
    <row r="10" spans="1:20" ht="12.75">
      <c r="A10">
        <v>10</v>
      </c>
      <c r="D10" s="96" t="s">
        <v>46</v>
      </c>
      <c r="E10" s="118">
        <f>IF(D3=0,0,IF(H3=1,$H$2,IF($F10&lt;=$E$3,$I$2,$J$2)))</f>
        <v>0</v>
      </c>
      <c r="F10" s="23">
        <f>+G10</f>
        <v>0</v>
      </c>
      <c r="G10" s="11">
        <f>+'ŠP - Jednotarifni'!D12-'ŠP - Jednotarifni'!C12</f>
        <v>0</v>
      </c>
      <c r="H10" s="11"/>
      <c r="I10" s="11">
        <f>IF($F10&lt;=$E$3,$G10,$G10/$F10*$E$3)</f>
        <v>0</v>
      </c>
      <c r="J10" s="11"/>
      <c r="K10" s="11">
        <f>IF($F10&lt;=$E$3,0,IF($F10&gt;=$G$3,($G$3-$E$3)*$G10/$F10,($F10-$E$3)*$G10/$F10))</f>
        <v>0</v>
      </c>
      <c r="L10" s="11"/>
      <c r="M10" s="11">
        <f>IF($F10&lt;=$G$3,0,$G10/$F10*($F10-$G$3))</f>
        <v>0</v>
      </c>
      <c r="N10" s="11"/>
      <c r="O10" s="14">
        <f>+I10+K10+M10</f>
        <v>0</v>
      </c>
      <c r="P10" s="15"/>
      <c r="Q10" s="5"/>
      <c r="R10" s="5"/>
      <c r="S10" s="5"/>
      <c r="T10" s="5"/>
    </row>
    <row r="11" spans="1:20" ht="13.5" thickBot="1">
      <c r="A11">
        <v>11</v>
      </c>
      <c r="D11" s="138" t="s">
        <v>45</v>
      </c>
      <c r="E11" s="153">
        <f>IF(D4=0,0,IF(H4=1,$H$2,IF($F11&lt;=$E$4,$I$2,$J$2)))</f>
        <v>0</v>
      </c>
      <c r="F11" s="154">
        <f>+H11+G11</f>
        <v>0</v>
      </c>
      <c r="G11" s="140">
        <f>+'ŠP - Dvotarifni'!D13-'ŠP - Dvotarifni'!C13</f>
        <v>0</v>
      </c>
      <c r="H11" s="140">
        <f>+'ŠP - Dvotarifni'!D14-'ŠP - Dvotarifni'!C14</f>
        <v>0</v>
      </c>
      <c r="I11" s="140">
        <f>IF($F11&lt;=$E$4,$G11,$G11/$F11*$E$4)</f>
        <v>0</v>
      </c>
      <c r="J11" s="140">
        <f>IF(F11&lt;=$E$4,$H11,$H11/F11*$E$4)</f>
        <v>0</v>
      </c>
      <c r="K11" s="140">
        <f>IF($F11&lt;=$E$4,0,IF($F11&gt;=$G$4,($G$4-$E$4)*$G11/$F11,($F11-$E$4)*$G11/$F11))</f>
        <v>0</v>
      </c>
      <c r="L11" s="140">
        <f>IF($F11&lt;=$E$4,0,IF($F11&gt;=$G$4,($G$4-$E$4)*$H11/$F11,($F11-$E$4)*$H11/$F11))</f>
        <v>0</v>
      </c>
      <c r="M11" s="140">
        <f>IF($F11&lt;=$G$4,0,$G11/$F11*($F11-$G$4))</f>
        <v>0</v>
      </c>
      <c r="N11" s="140">
        <f>IF($F11&lt;=$G$4,0,$H11/$F11*($F11-$G$4))</f>
        <v>0</v>
      </c>
      <c r="O11" s="155">
        <f>+I11+K11+M11</f>
        <v>0</v>
      </c>
      <c r="P11" s="156">
        <f>+J11+L11+N11</f>
        <v>0</v>
      </c>
      <c r="Q11" s="5"/>
      <c r="R11" s="5"/>
      <c r="S11" s="5"/>
      <c r="T11" s="5"/>
    </row>
    <row r="12" spans="1:10" ht="13.5" thickTop="1">
      <c r="A12">
        <v>12</v>
      </c>
      <c r="D12" s="6"/>
      <c r="E12" s="8"/>
      <c r="F12" s="4"/>
      <c r="G12" s="4"/>
      <c r="H12" s="4"/>
      <c r="J12" s="4"/>
    </row>
    <row r="13" spans="1:8" ht="12.75">
      <c r="A13">
        <v>13</v>
      </c>
      <c r="F13" s="4"/>
      <c r="G13" s="4"/>
      <c r="H13" s="4"/>
    </row>
    <row r="14" spans="1:8" ht="12.75">
      <c r="A14">
        <v>14</v>
      </c>
      <c r="D14" s="20" t="s">
        <v>108</v>
      </c>
      <c r="F14" s="4"/>
      <c r="G14" s="4"/>
      <c r="H14" s="4"/>
    </row>
    <row r="15" spans="1:8" ht="13.5" thickBot="1">
      <c r="A15">
        <v>15</v>
      </c>
      <c r="F15" s="4"/>
      <c r="G15" s="4"/>
      <c r="H15" s="4"/>
    </row>
    <row r="16" spans="1:22" ht="13.5" thickTop="1">
      <c r="A16">
        <v>16</v>
      </c>
      <c r="D16" s="21" t="s">
        <v>32</v>
      </c>
      <c r="E16" s="24" t="s">
        <v>5</v>
      </c>
      <c r="F16" s="457" t="s">
        <v>16</v>
      </c>
      <c r="G16" s="469"/>
      <c r="H16" s="469"/>
      <c r="I16" s="469"/>
      <c r="J16" s="469"/>
      <c r="K16" s="469"/>
      <c r="L16" s="469"/>
      <c r="M16" s="469"/>
      <c r="N16" s="469"/>
      <c r="O16" s="469"/>
      <c r="P16" s="469"/>
      <c r="Q16" s="469"/>
      <c r="R16" s="469"/>
      <c r="S16" s="469"/>
      <c r="T16" s="469"/>
      <c r="U16" s="469"/>
      <c r="V16" s="470"/>
    </row>
    <row r="17" spans="1:22" ht="12.75">
      <c r="A17">
        <v>17</v>
      </c>
      <c r="D17" s="22" t="s">
        <v>33</v>
      </c>
      <c r="E17" s="25" t="s">
        <v>6</v>
      </c>
      <c r="F17" s="474" t="s">
        <v>8</v>
      </c>
      <c r="G17" s="472"/>
      <c r="H17" s="471" t="s">
        <v>9</v>
      </c>
      <c r="I17" s="472"/>
      <c r="J17" s="471" t="s">
        <v>10</v>
      </c>
      <c r="K17" s="472"/>
      <c r="L17" s="471" t="s">
        <v>3</v>
      </c>
      <c r="M17" s="473"/>
      <c r="N17" s="472"/>
      <c r="O17" s="313" t="s">
        <v>12</v>
      </c>
      <c r="P17" s="314"/>
      <c r="Q17" s="98" t="s">
        <v>2</v>
      </c>
      <c r="R17" s="315" t="s">
        <v>157</v>
      </c>
      <c r="S17" s="98" t="s">
        <v>158</v>
      </c>
      <c r="T17" s="98" t="s">
        <v>160</v>
      </c>
      <c r="U17" s="316" t="s">
        <v>2</v>
      </c>
      <c r="V17" s="320" t="s">
        <v>215</v>
      </c>
    </row>
    <row r="18" spans="1:22" ht="13.5" thickBot="1">
      <c r="A18">
        <v>18</v>
      </c>
      <c r="D18" s="40"/>
      <c r="E18" s="27"/>
      <c r="F18" s="28" t="str">
        <f>+I9</f>
        <v>VT</v>
      </c>
      <c r="G18" s="9" t="str">
        <f aca="true" t="shared" si="1" ref="G18:M18">+J9</f>
        <v>NT</v>
      </c>
      <c r="H18" s="9" t="str">
        <f t="shared" si="1"/>
        <v>VT</v>
      </c>
      <c r="I18" s="9" t="str">
        <f t="shared" si="1"/>
        <v>NT</v>
      </c>
      <c r="J18" s="9" t="str">
        <f t="shared" si="1"/>
        <v>VT</v>
      </c>
      <c r="K18" s="9" t="str">
        <f t="shared" si="1"/>
        <v>NT</v>
      </c>
      <c r="L18" s="9" t="str">
        <f t="shared" si="1"/>
        <v>VT</v>
      </c>
      <c r="M18" s="9" t="str">
        <f t="shared" si="1"/>
        <v>NT</v>
      </c>
      <c r="N18" s="9" t="s">
        <v>2</v>
      </c>
      <c r="O18" s="9" t="s">
        <v>11</v>
      </c>
      <c r="P18" s="9" t="s">
        <v>6</v>
      </c>
      <c r="Q18" s="99" t="s">
        <v>17</v>
      </c>
      <c r="R18" s="270">
        <v>0.05</v>
      </c>
      <c r="S18" s="99" t="s">
        <v>159</v>
      </c>
      <c r="T18" s="99" t="s">
        <v>48</v>
      </c>
      <c r="U18" s="317" t="s">
        <v>161</v>
      </c>
      <c r="V18" s="34" t="s">
        <v>214</v>
      </c>
    </row>
    <row r="19" spans="1:22" ht="12.75">
      <c r="A19">
        <v>19</v>
      </c>
      <c r="D19" s="96" t="s">
        <v>46</v>
      </c>
      <c r="E19" s="97">
        <f>+E10</f>
        <v>0</v>
      </c>
      <c r="F19" s="23">
        <f>$I$10*'1.8.2013 Cenovnik JS'!$F$40</f>
        <v>0</v>
      </c>
      <c r="G19" s="11"/>
      <c r="H19" s="11">
        <f>$K$10*'1.8.2013 Cenovnik JS'!$F$41</f>
        <v>0</v>
      </c>
      <c r="I19" s="11"/>
      <c r="J19" s="11">
        <f>$M$10*'1.8.2013 Cenovnik JS'!$F$42</f>
        <v>0</v>
      </c>
      <c r="K19" s="11"/>
      <c r="L19" s="11">
        <f>+F19+H19+J19</f>
        <v>0</v>
      </c>
      <c r="M19" s="11">
        <f>+G19+I19+K19</f>
        <v>0</v>
      </c>
      <c r="N19" s="16">
        <f>+L19+M19</f>
        <v>0</v>
      </c>
      <c r="O19" s="17">
        <f>'ŠP - Jednotarifni'!C14*'1.8.2013 Cenovnik JS'!$F$37</f>
        <v>0</v>
      </c>
      <c r="P19" s="17">
        <f>+E19*'1.8.2013 Cenovnik JS'!$F$38</f>
        <v>0</v>
      </c>
      <c r="Q19" s="38">
        <f>SUM(N19:P19)</f>
        <v>0</v>
      </c>
      <c r="R19" s="271">
        <f>+Q19*$N$2</f>
        <v>0</v>
      </c>
      <c r="S19" s="38">
        <f>IF($F10&lt;=$E$3,Q19*$N$3,0)</f>
        <v>0</v>
      </c>
      <c r="T19" s="38">
        <f>+$N$2*$N$4</f>
        <v>25</v>
      </c>
      <c r="U19" s="318">
        <f>SUM(R19:T19)</f>
        <v>25</v>
      </c>
      <c r="V19" s="321">
        <f>+F10*$N$3</f>
        <v>0</v>
      </c>
    </row>
    <row r="20" spans="1:25" ht="13.5" thickBot="1">
      <c r="A20">
        <v>20</v>
      </c>
      <c r="D20" s="138" t="s">
        <v>45</v>
      </c>
      <c r="E20" s="157">
        <f>+E11</f>
        <v>0</v>
      </c>
      <c r="F20" s="154">
        <f>I$11*'1.8.2013 Cenovnik JS'!$F43</f>
        <v>0</v>
      </c>
      <c r="G20" s="140">
        <f>J$11*'1.8.2013 Cenovnik JS'!$F44</f>
        <v>0</v>
      </c>
      <c r="H20" s="140">
        <f>K$11*'1.8.2013 Cenovnik JS'!$F45</f>
        <v>0</v>
      </c>
      <c r="I20" s="140">
        <f>L$11*'1.8.2013 Cenovnik JS'!$F46</f>
        <v>0</v>
      </c>
      <c r="J20" s="140">
        <f>M$11*'1.8.2013 Cenovnik JS'!$F47</f>
        <v>0</v>
      </c>
      <c r="K20" s="140">
        <f>N$11*'1.8.2013 Cenovnik JS'!$F48</f>
        <v>0</v>
      </c>
      <c r="L20" s="140">
        <f>+F20+H20+J20</f>
        <v>0</v>
      </c>
      <c r="M20" s="140">
        <f>+G20+I20+K20</f>
        <v>0</v>
      </c>
      <c r="N20" s="158">
        <f>+L20+M20</f>
        <v>0</v>
      </c>
      <c r="O20" s="159">
        <f>+'ŠP - Dvotarifni'!C16*'1.8.2013 Cenovnik JS'!$F$37</f>
        <v>0</v>
      </c>
      <c r="P20" s="159">
        <f>+E20*'1.8.2013 Cenovnik JS'!$F$38</f>
        <v>0</v>
      </c>
      <c r="Q20" s="160">
        <f>SUM(N20:P20)</f>
        <v>0</v>
      </c>
      <c r="R20" s="272">
        <f>+Q20*$N$2</f>
        <v>0</v>
      </c>
      <c r="S20" s="160">
        <f>IF($F11&lt;=$E$4,Q20*$N$3,0)</f>
        <v>0</v>
      </c>
      <c r="T20" s="160">
        <f>+$N$2*$N$4</f>
        <v>25</v>
      </c>
      <c r="U20" s="319">
        <f>SUM(R20:T20)</f>
        <v>25</v>
      </c>
      <c r="V20" s="322">
        <f>+F11*$N$3</f>
        <v>0</v>
      </c>
      <c r="W20" s="162"/>
      <c r="X20" s="162"/>
      <c r="Y20" s="162"/>
    </row>
    <row r="21" spans="1:25" ht="13.5" thickTop="1">
      <c r="A21">
        <v>21</v>
      </c>
      <c r="V21" s="162"/>
      <c r="W21" s="162"/>
      <c r="X21" s="162"/>
      <c r="Y21" s="162"/>
    </row>
    <row r="22" spans="1:25" ht="12.75">
      <c r="A22">
        <v>22</v>
      </c>
      <c r="D22" s="20" t="s">
        <v>109</v>
      </c>
      <c r="V22" s="162"/>
      <c r="W22" s="162"/>
      <c r="X22" s="162"/>
      <c r="Y22" s="162"/>
    </row>
    <row r="23" spans="1:25" ht="13.5" thickBot="1">
      <c r="A23">
        <v>23</v>
      </c>
      <c r="V23" s="162"/>
      <c r="W23" s="162"/>
      <c r="X23" s="162"/>
      <c r="Y23" s="162"/>
    </row>
    <row r="24" spans="1:22" ht="13.5" thickTop="1">
      <c r="A24">
        <v>24</v>
      </c>
      <c r="D24" s="21" t="s">
        <v>32</v>
      </c>
      <c r="E24" s="24" t="s">
        <v>5</v>
      </c>
      <c r="F24" s="457" t="s">
        <v>16</v>
      </c>
      <c r="G24" s="469"/>
      <c r="H24" s="469"/>
      <c r="I24" s="469"/>
      <c r="J24" s="469"/>
      <c r="K24" s="469"/>
      <c r="L24" s="469"/>
      <c r="M24" s="469"/>
      <c r="N24" s="470"/>
      <c r="T24" s="162"/>
      <c r="U24" s="162"/>
      <c r="V24" s="162"/>
    </row>
    <row r="25" spans="1:22" ht="12.75">
      <c r="A25">
        <v>25</v>
      </c>
      <c r="D25" s="22" t="s">
        <v>33</v>
      </c>
      <c r="E25" s="25" t="s">
        <v>6</v>
      </c>
      <c r="F25" s="462" t="s">
        <v>3</v>
      </c>
      <c r="G25" s="463"/>
      <c r="H25" s="468"/>
      <c r="I25" s="13"/>
      <c r="J25" s="41" t="s">
        <v>2</v>
      </c>
      <c r="K25" s="98" t="s">
        <v>1</v>
      </c>
      <c r="L25" s="98" t="s">
        <v>2</v>
      </c>
      <c r="M25" s="98" t="s">
        <v>49</v>
      </c>
      <c r="N25" s="35" t="s">
        <v>2</v>
      </c>
      <c r="T25" s="162"/>
      <c r="U25" s="162"/>
      <c r="V25" s="162"/>
    </row>
    <row r="26" spans="1:22" ht="13.5" thickBot="1">
      <c r="A26">
        <v>26</v>
      </c>
      <c r="D26" s="40"/>
      <c r="E26" s="27"/>
      <c r="F26" s="9" t="str">
        <f>+F9</f>
        <v>Mesečno</v>
      </c>
      <c r="G26" s="9" t="str">
        <f>+G9</f>
        <v>VT</v>
      </c>
      <c r="H26" s="9" t="str">
        <f>+H9</f>
        <v>NT</v>
      </c>
      <c r="I26" s="9" t="s">
        <v>6</v>
      </c>
      <c r="J26" s="9" t="s">
        <v>17</v>
      </c>
      <c r="K26" s="100"/>
      <c r="L26" s="99" t="s">
        <v>47</v>
      </c>
      <c r="M26" s="99" t="s">
        <v>50</v>
      </c>
      <c r="N26" s="34" t="s">
        <v>51</v>
      </c>
      <c r="T26" s="162"/>
      <c r="U26" s="162"/>
      <c r="V26" s="162"/>
    </row>
    <row r="27" spans="1:22" ht="12.75">
      <c r="A27">
        <v>27</v>
      </c>
      <c r="D27" s="232" t="s">
        <v>116</v>
      </c>
      <c r="E27" s="236">
        <f>+$E$10</f>
        <v>0</v>
      </c>
      <c r="F27" s="234">
        <f aca="true" t="shared" si="2" ref="F27:F36">+H27+G27</f>
        <v>0</v>
      </c>
      <c r="G27" s="219">
        <f>G$10*'1.8.2013 Cenovnik za ED NS'!$F$33</f>
        <v>0</v>
      </c>
      <c r="H27" s="219"/>
      <c r="I27" s="219">
        <f>$E27*'1.8.2013 Cenovnik za ED NS'!$F$31</f>
        <v>0</v>
      </c>
      <c r="J27" s="222">
        <f aca="true" t="shared" si="3" ref="J27:J36">+F27+I27</f>
        <v>0</v>
      </c>
      <c r="K27" s="222">
        <f aca="true" t="shared" si="4" ref="K27:K36">+J27*$N$1</f>
        <v>0</v>
      </c>
      <c r="L27" s="222">
        <f aca="true" t="shared" si="5" ref="L27:L36">+J27+K27</f>
        <v>0</v>
      </c>
      <c r="M27" s="222">
        <f aca="true" t="shared" si="6" ref="M27:M36">+L27*$N$2</f>
        <v>0</v>
      </c>
      <c r="N27" s="223">
        <f aca="true" t="shared" si="7" ref="N27:N36">+L27-M27</f>
        <v>0</v>
      </c>
      <c r="T27" s="162"/>
      <c r="U27" s="162"/>
      <c r="V27" s="162"/>
    </row>
    <row r="28" spans="1:22" ht="12.75">
      <c r="A28">
        <v>28</v>
      </c>
      <c r="C28" t="s">
        <v>146</v>
      </c>
      <c r="D28" s="224" t="s">
        <v>115</v>
      </c>
      <c r="E28" s="225">
        <f>+$E$10</f>
        <v>0</v>
      </c>
      <c r="F28" s="220">
        <f t="shared" si="2"/>
        <v>0</v>
      </c>
      <c r="G28" s="221">
        <f>G$10*'1.8.2013 Cenovnik za ED BG'!$F$33</f>
        <v>0</v>
      </c>
      <c r="H28" s="221"/>
      <c r="I28" s="221">
        <f>$E28*'1.8.2013 Cenovnik za ED BG'!$F$31</f>
        <v>0</v>
      </c>
      <c r="J28" s="226">
        <f t="shared" si="3"/>
        <v>0</v>
      </c>
      <c r="K28" s="226">
        <f t="shared" si="4"/>
        <v>0</v>
      </c>
      <c r="L28" s="226">
        <f t="shared" si="5"/>
        <v>0</v>
      </c>
      <c r="M28" s="226">
        <f t="shared" si="6"/>
        <v>0</v>
      </c>
      <c r="N28" s="228">
        <f t="shared" si="7"/>
        <v>0</v>
      </c>
      <c r="T28" s="162"/>
      <c r="U28" s="162"/>
      <c r="V28" s="162"/>
    </row>
    <row r="29" spans="1:25" ht="12.75">
      <c r="A29">
        <v>29</v>
      </c>
      <c r="C29">
        <v>6</v>
      </c>
      <c r="D29" s="122" t="s">
        <v>117</v>
      </c>
      <c r="E29" s="216">
        <f>+$E$10</f>
        <v>0</v>
      </c>
      <c r="F29" s="217">
        <f t="shared" si="2"/>
        <v>0</v>
      </c>
      <c r="G29" s="123">
        <f>G$10*'1.8.2013 Cenovnik za ED KV'!$F$33</f>
        <v>0</v>
      </c>
      <c r="H29" s="123"/>
      <c r="I29" s="123">
        <f>$E29*'1.8.2013 Cenovnik za ED KV'!$F$31</f>
        <v>0</v>
      </c>
      <c r="J29" s="124">
        <f t="shared" si="3"/>
        <v>0</v>
      </c>
      <c r="K29" s="124">
        <f t="shared" si="4"/>
        <v>0</v>
      </c>
      <c r="L29" s="124">
        <f t="shared" si="5"/>
        <v>0</v>
      </c>
      <c r="M29" s="124">
        <f t="shared" si="6"/>
        <v>0</v>
      </c>
      <c r="N29" s="218">
        <f t="shared" si="7"/>
        <v>0</v>
      </c>
      <c r="V29" s="162"/>
      <c r="W29" s="162"/>
      <c r="X29" s="162"/>
      <c r="Y29" s="162"/>
    </row>
    <row r="30" spans="1:25" ht="12.75">
      <c r="A30">
        <v>30</v>
      </c>
      <c r="D30" s="122" t="s">
        <v>118</v>
      </c>
      <c r="E30" s="216">
        <f>+$E$10</f>
        <v>0</v>
      </c>
      <c r="F30" s="217">
        <f t="shared" si="2"/>
        <v>0</v>
      </c>
      <c r="G30" s="123">
        <f>G$10*'1.8.2013 Cenovnik za ED NI'!$F$33</f>
        <v>0</v>
      </c>
      <c r="H30" s="123"/>
      <c r="I30" s="123">
        <f>$E30*'1.8.2013 Cenovnik za ED NI'!$F$31</f>
        <v>0</v>
      </c>
      <c r="J30" s="124">
        <f t="shared" si="3"/>
        <v>0</v>
      </c>
      <c r="K30" s="124">
        <f t="shared" si="4"/>
        <v>0</v>
      </c>
      <c r="L30" s="124">
        <f t="shared" si="5"/>
        <v>0</v>
      </c>
      <c r="M30" s="124">
        <f t="shared" si="6"/>
        <v>0</v>
      </c>
      <c r="N30" s="218">
        <f t="shared" si="7"/>
        <v>0</v>
      </c>
      <c r="V30" s="162"/>
      <c r="W30" s="162"/>
      <c r="X30" s="162"/>
      <c r="Y30" s="162"/>
    </row>
    <row r="31" spans="1:25" ht="13.5" thickBot="1">
      <c r="A31">
        <v>31</v>
      </c>
      <c r="D31" s="233" t="s">
        <v>119</v>
      </c>
      <c r="E31" s="237">
        <f>+$E$10</f>
        <v>0</v>
      </c>
      <c r="F31" s="235">
        <f t="shared" si="2"/>
        <v>0</v>
      </c>
      <c r="G31" s="229">
        <f>G$10*'1.8.2013 Cenovnik za ED KG'!$F$33</f>
        <v>0</v>
      </c>
      <c r="H31" s="229"/>
      <c r="I31" s="229">
        <f>$E31*'1.8.2013 Cenovnik za ED KG'!$F$31</f>
        <v>0</v>
      </c>
      <c r="J31" s="230">
        <f t="shared" si="3"/>
        <v>0</v>
      </c>
      <c r="K31" s="230">
        <f t="shared" si="4"/>
        <v>0</v>
      </c>
      <c r="L31" s="230">
        <f t="shared" si="5"/>
        <v>0</v>
      </c>
      <c r="M31" s="230">
        <f t="shared" si="6"/>
        <v>0</v>
      </c>
      <c r="N31" s="231">
        <f t="shared" si="7"/>
        <v>0</v>
      </c>
      <c r="V31" s="162"/>
      <c r="W31" s="162"/>
      <c r="X31" s="162"/>
      <c r="Y31" s="162"/>
    </row>
    <row r="32" spans="1:25" ht="12.75">
      <c r="A32" s="264" t="s">
        <v>141</v>
      </c>
      <c r="D32" s="224" t="s">
        <v>110</v>
      </c>
      <c r="E32" s="225">
        <f>+$E$11</f>
        <v>0</v>
      </c>
      <c r="F32" s="220">
        <f t="shared" si="2"/>
        <v>0</v>
      </c>
      <c r="G32" s="221">
        <f>G$11*'1.8.2013 Cenovnik za ED NS'!$F$35</f>
        <v>0</v>
      </c>
      <c r="H32" s="221">
        <f>H$11*'1.8.2013 Cenovnik za ED NS'!$F$37</f>
        <v>0</v>
      </c>
      <c r="I32" s="221">
        <f>$E32*'1.8.2013 Cenovnik za ED NS'!$F$31</f>
        <v>0</v>
      </c>
      <c r="J32" s="226">
        <f t="shared" si="3"/>
        <v>0</v>
      </c>
      <c r="K32" s="227">
        <f t="shared" si="4"/>
        <v>0</v>
      </c>
      <c r="L32" s="227">
        <f t="shared" si="5"/>
        <v>0</v>
      </c>
      <c r="M32" s="227">
        <f t="shared" si="6"/>
        <v>0</v>
      </c>
      <c r="N32" s="228">
        <f t="shared" si="7"/>
        <v>0</v>
      </c>
      <c r="V32" s="162"/>
      <c r="W32" s="162"/>
      <c r="X32" s="162"/>
      <c r="Y32" s="162"/>
    </row>
    <row r="33" spans="1:25" ht="12.75">
      <c r="A33" s="264" t="s">
        <v>142</v>
      </c>
      <c r="C33" t="s">
        <v>146</v>
      </c>
      <c r="D33" s="122" t="s">
        <v>111</v>
      </c>
      <c r="E33" s="216">
        <f>+$E$11</f>
        <v>0</v>
      </c>
      <c r="F33" s="217">
        <f t="shared" si="2"/>
        <v>0</v>
      </c>
      <c r="G33" s="123">
        <f>G$11*'1.8.2013 Cenovnik za ED BG'!$F$35</f>
        <v>0</v>
      </c>
      <c r="H33" s="123">
        <f>H$11*'1.8.2013 Cenovnik za ED BG'!$F$37</f>
        <v>0</v>
      </c>
      <c r="I33" s="123">
        <f>$E33*'1.8.2013 Cenovnik za ED BG'!$F$31</f>
        <v>0</v>
      </c>
      <c r="J33" s="124">
        <f t="shared" si="3"/>
        <v>0</v>
      </c>
      <c r="K33" s="125">
        <f t="shared" si="4"/>
        <v>0</v>
      </c>
      <c r="L33" s="125">
        <f t="shared" si="5"/>
        <v>0</v>
      </c>
      <c r="M33" s="125">
        <f t="shared" si="6"/>
        <v>0</v>
      </c>
      <c r="N33" s="218">
        <f t="shared" si="7"/>
        <v>0</v>
      </c>
      <c r="V33" s="162"/>
      <c r="W33" s="162"/>
      <c r="X33" s="162"/>
      <c r="Y33" s="162"/>
    </row>
    <row r="34" spans="1:25" ht="12.75">
      <c r="A34" s="264" t="s">
        <v>143</v>
      </c>
      <c r="C34">
        <v>6</v>
      </c>
      <c r="D34" s="122" t="s">
        <v>112</v>
      </c>
      <c r="E34" s="216">
        <f>+$E$11</f>
        <v>0</v>
      </c>
      <c r="F34" s="217">
        <f t="shared" si="2"/>
        <v>0</v>
      </c>
      <c r="G34" s="123">
        <f>G$11*'1.8.2013 Cenovnik za ED KV'!$F$35</f>
        <v>0</v>
      </c>
      <c r="H34" s="123">
        <f>H$11*'1.8.2013 Cenovnik za ED KV'!$F$37</f>
        <v>0</v>
      </c>
      <c r="I34" s="123">
        <f>$E34*'1.8.2013 Cenovnik za ED KV'!$F$31</f>
        <v>0</v>
      </c>
      <c r="J34" s="124">
        <f t="shared" si="3"/>
        <v>0</v>
      </c>
      <c r="K34" s="125">
        <f t="shared" si="4"/>
        <v>0</v>
      </c>
      <c r="L34" s="125">
        <f t="shared" si="5"/>
        <v>0</v>
      </c>
      <c r="M34" s="125">
        <f t="shared" si="6"/>
        <v>0</v>
      </c>
      <c r="N34" s="218">
        <f t="shared" si="7"/>
        <v>0</v>
      </c>
      <c r="V34" s="162"/>
      <c r="W34" s="162"/>
      <c r="X34" s="162"/>
      <c r="Y34" s="162"/>
    </row>
    <row r="35" spans="1:25" ht="12.75">
      <c r="A35" s="264" t="s">
        <v>144</v>
      </c>
      <c r="D35" s="122" t="s">
        <v>113</v>
      </c>
      <c r="E35" s="216">
        <f>+$E$11</f>
        <v>0</v>
      </c>
      <c r="F35" s="217">
        <f t="shared" si="2"/>
        <v>0</v>
      </c>
      <c r="G35" s="123">
        <f>G$11*'1.8.2013 Cenovnik za ED NI'!$F$35</f>
        <v>0</v>
      </c>
      <c r="H35" s="123">
        <f>H$11*'1.8.2013 Cenovnik za ED NI'!$F$37</f>
        <v>0</v>
      </c>
      <c r="I35" s="123">
        <f>$E35*'1.8.2013 Cenovnik za ED NI'!$F$31</f>
        <v>0</v>
      </c>
      <c r="J35" s="124">
        <f t="shared" si="3"/>
        <v>0</v>
      </c>
      <c r="K35" s="125">
        <f t="shared" si="4"/>
        <v>0</v>
      </c>
      <c r="L35" s="125">
        <f t="shared" si="5"/>
        <v>0</v>
      </c>
      <c r="M35" s="125">
        <f t="shared" si="6"/>
        <v>0</v>
      </c>
      <c r="N35" s="218">
        <f t="shared" si="7"/>
        <v>0</v>
      </c>
      <c r="V35" s="162"/>
      <c r="W35" s="162"/>
      <c r="X35" s="162"/>
      <c r="Y35" s="162"/>
    </row>
    <row r="36" spans="1:25" ht="13.5" thickBot="1">
      <c r="A36" s="264" t="s">
        <v>145</v>
      </c>
      <c r="D36" s="138" t="s">
        <v>114</v>
      </c>
      <c r="E36" s="157">
        <f>+$E$11</f>
        <v>0</v>
      </c>
      <c r="F36" s="154">
        <f t="shared" si="2"/>
        <v>0</v>
      </c>
      <c r="G36" s="140">
        <f>G$11*'1.8.2013 Cenovnik za ED KG'!$F$35</f>
        <v>0</v>
      </c>
      <c r="H36" s="140">
        <f>H$11*'1.8.2013 Cenovnik za ED KG'!$F$37</f>
        <v>0</v>
      </c>
      <c r="I36" s="140">
        <f>$E36*'1.8.2013 Cenovnik za ED KG'!$F$31</f>
        <v>0</v>
      </c>
      <c r="J36" s="158">
        <f t="shared" si="3"/>
        <v>0</v>
      </c>
      <c r="K36" s="160">
        <f t="shared" si="4"/>
        <v>0</v>
      </c>
      <c r="L36" s="160">
        <f t="shared" si="5"/>
        <v>0</v>
      </c>
      <c r="M36" s="160">
        <f t="shared" si="6"/>
        <v>0</v>
      </c>
      <c r="N36" s="161">
        <f t="shared" si="7"/>
        <v>0</v>
      </c>
      <c r="V36" s="162"/>
      <c r="W36" s="162"/>
      <c r="X36" s="162"/>
      <c r="Y36" s="162"/>
    </row>
    <row r="37" spans="22:25" ht="13.5" thickTop="1">
      <c r="V37" s="162"/>
      <c r="W37" s="162"/>
      <c r="X37" s="162"/>
      <c r="Y37" s="162"/>
    </row>
    <row r="40" ht="13.5" thickBot="1"/>
    <row r="41" spans="4:16" ht="13.5" thickTop="1">
      <c r="D41" s="21" t="s">
        <v>32</v>
      </c>
      <c r="E41" s="460" t="s">
        <v>3</v>
      </c>
      <c r="F41" s="458"/>
      <c r="G41" s="461"/>
      <c r="H41" s="460" t="s">
        <v>6</v>
      </c>
      <c r="I41" s="458"/>
      <c r="J41" s="461"/>
      <c r="K41" s="460" t="s">
        <v>4</v>
      </c>
      <c r="L41" s="458"/>
      <c r="M41" s="458"/>
      <c r="N41" s="458"/>
      <c r="O41" s="458"/>
      <c r="P41" s="459"/>
    </row>
    <row r="42" spans="4:16" ht="12.75">
      <c r="D42" s="22" t="s">
        <v>33</v>
      </c>
      <c r="E42" s="462" t="s">
        <v>2</v>
      </c>
      <c r="F42" s="463"/>
      <c r="G42" s="464"/>
      <c r="H42" s="462" t="s">
        <v>2</v>
      </c>
      <c r="I42" s="463"/>
      <c r="J42" s="464"/>
      <c r="K42" s="479" t="s">
        <v>223</v>
      </c>
      <c r="L42" s="463"/>
      <c r="M42" s="480" t="s">
        <v>84</v>
      </c>
      <c r="N42" s="468"/>
      <c r="O42" s="481" t="s">
        <v>224</v>
      </c>
      <c r="P42" s="478"/>
    </row>
    <row r="43" spans="4:16" ht="13.5" thickBot="1">
      <c r="D43" s="2"/>
      <c r="E43" s="130" t="s">
        <v>17</v>
      </c>
      <c r="F43" s="9" t="s">
        <v>14</v>
      </c>
      <c r="G43" s="131" t="s">
        <v>15</v>
      </c>
      <c r="H43" s="333" t="s">
        <v>223</v>
      </c>
      <c r="I43" s="9" t="s">
        <v>84</v>
      </c>
      <c r="J43" s="131" t="s">
        <v>85</v>
      </c>
      <c r="K43" s="134" t="s">
        <v>14</v>
      </c>
      <c r="L43" s="99" t="s">
        <v>15</v>
      </c>
      <c r="M43" s="9" t="s">
        <v>14</v>
      </c>
      <c r="N43" s="9" t="s">
        <v>15</v>
      </c>
      <c r="O43" s="28" t="s">
        <v>14</v>
      </c>
      <c r="P43" s="12" t="s">
        <v>15</v>
      </c>
    </row>
    <row r="44" spans="4:16" ht="12.75">
      <c r="D44" s="96" t="s">
        <v>83</v>
      </c>
      <c r="E44" s="29">
        <f>SUM(F44:G44)</f>
        <v>0</v>
      </c>
      <c r="F44" s="11">
        <f>+'Visoki napon'!$D$9-'Visoki napon'!$C$9</f>
        <v>0</v>
      </c>
      <c r="G44" s="30">
        <f>+'Visoki napon'!$D$10-'Visoki napon'!$C$10</f>
        <v>0</v>
      </c>
      <c r="H44" s="29">
        <f>+'Visoki napon'!$C$12</f>
        <v>0</v>
      </c>
      <c r="I44" s="11">
        <f>+'Visoki napon'!$C$13</f>
        <v>0</v>
      </c>
      <c r="J44" s="30">
        <f>IF(I44-H44&gt;0,I44-H44,0)</f>
        <v>0</v>
      </c>
      <c r="K44" s="29">
        <f aca="true" t="shared" si="8" ref="K44:L46">+F44/$L$2*$L$3</f>
        <v>0</v>
      </c>
      <c r="L44" s="334">
        <f t="shared" si="8"/>
        <v>0</v>
      </c>
      <c r="M44" s="334">
        <f>('Visoki napon'!$D$15-'Visoki napon'!$C$15)*'Visoki napon'!$C$18</f>
        <v>0</v>
      </c>
      <c r="N44" s="337">
        <f>('Visoki napon'!$D$16-'Visoki napon'!$C$16)*'Visoki napon'!$C$18</f>
        <v>0</v>
      </c>
      <c r="O44" s="23">
        <f aca="true" t="shared" si="9" ref="O44:P46">+M44-K44</f>
        <v>0</v>
      </c>
      <c r="P44" s="135">
        <f t="shared" si="9"/>
        <v>0</v>
      </c>
    </row>
    <row r="45" spans="4:16" ht="12.75">
      <c r="D45" s="122" t="s">
        <v>86</v>
      </c>
      <c r="E45" s="132">
        <f>SUM(F45:G45)</f>
        <v>0</v>
      </c>
      <c r="F45" s="123">
        <f>('Srednji napon'!$D$9-'Srednji napon'!$C$9)*'Srednji napon'!$C$18</f>
        <v>0</v>
      </c>
      <c r="G45" s="133">
        <f>('Srednji napon'!$D$10-'Srednji napon'!$C$10)*'Srednji napon'!$C$18</f>
        <v>0</v>
      </c>
      <c r="H45" s="132">
        <f>+'Srednji napon'!$C$12</f>
        <v>0</v>
      </c>
      <c r="I45" s="123">
        <f>+'Srednji napon'!$C$13</f>
        <v>0</v>
      </c>
      <c r="J45" s="133">
        <f>IF(I45-H45&gt;0,I45-H45,0)</f>
        <v>0</v>
      </c>
      <c r="K45" s="132">
        <f t="shared" si="8"/>
        <v>0</v>
      </c>
      <c r="L45" s="335">
        <f t="shared" si="8"/>
        <v>0</v>
      </c>
      <c r="M45" s="123">
        <f>('Srednji napon'!$D$15-'Srednji napon'!$C$15)*'Srednji napon'!$C$18</f>
        <v>0</v>
      </c>
      <c r="N45" s="123">
        <f>('Srednji napon'!$D$16-'Srednji napon'!$C$16)*'Srednji napon'!$C$18</f>
        <v>0</v>
      </c>
      <c r="O45" s="217">
        <f t="shared" si="9"/>
        <v>0</v>
      </c>
      <c r="P45" s="136">
        <f t="shared" si="9"/>
        <v>0</v>
      </c>
    </row>
    <row r="46" spans="4:16" ht="13.5" thickBot="1">
      <c r="D46" s="138" t="s">
        <v>87</v>
      </c>
      <c r="E46" s="139">
        <f>SUM(F46:G46)</f>
        <v>0</v>
      </c>
      <c r="F46" s="140">
        <f>('Niski napon'!$D$9-'Niski napon'!$C$9)*'Niski napon'!$C$18</f>
        <v>0</v>
      </c>
      <c r="G46" s="141">
        <f>('Niski napon'!$D$10-'Niski napon'!$C$10)*'Niski napon'!$C$18</f>
        <v>0</v>
      </c>
      <c r="H46" s="139">
        <f>+'Niski napon'!$C$12</f>
        <v>0</v>
      </c>
      <c r="I46" s="140">
        <f>+'Niski napon'!$C$13</f>
        <v>0</v>
      </c>
      <c r="J46" s="141">
        <f>IF(I46-H46&gt;0,I46-H46,0)</f>
        <v>0</v>
      </c>
      <c r="K46" s="139">
        <f t="shared" si="8"/>
        <v>0</v>
      </c>
      <c r="L46" s="336">
        <f t="shared" si="8"/>
        <v>0</v>
      </c>
      <c r="M46" s="336">
        <f>('Niski napon'!$D$15-'Niski napon'!$C$15)*'Niski napon'!$C$18</f>
        <v>0</v>
      </c>
      <c r="N46" s="140">
        <f>('Niski napon'!$D$16-'Niski napon'!$C$16)*'Niski napon'!$C$18</f>
        <v>0</v>
      </c>
      <c r="O46" s="154">
        <f t="shared" si="9"/>
        <v>0</v>
      </c>
      <c r="P46" s="142">
        <f t="shared" si="9"/>
        <v>0</v>
      </c>
    </row>
    <row r="47" spans="12:16" ht="13.5" thickTop="1">
      <c r="L47" s="4"/>
      <c r="N47" s="4"/>
      <c r="P47" s="4"/>
    </row>
    <row r="48" ht="12.75">
      <c r="D48" s="143" t="str">
        <f>+D14</f>
        <v>Obračun el. energija</v>
      </c>
    </row>
    <row r="49" ht="13.5" thickBot="1"/>
    <row r="50" spans="4:18" ht="13.5" thickTop="1">
      <c r="D50" s="21" t="s">
        <v>32</v>
      </c>
      <c r="E50" s="457" t="str">
        <f>+F24</f>
        <v>Dinara</v>
      </c>
      <c r="F50" s="469"/>
      <c r="G50" s="469"/>
      <c r="H50" s="469"/>
      <c r="I50" s="469"/>
      <c r="J50" s="469"/>
      <c r="K50" s="469"/>
      <c r="L50" s="469"/>
      <c r="M50" s="469"/>
      <c r="N50" s="469"/>
      <c r="O50" s="469"/>
      <c r="P50" s="469"/>
      <c r="Q50" s="469"/>
      <c r="R50" s="470"/>
    </row>
    <row r="51" spans="4:18" ht="12.75">
      <c r="D51" s="22" t="s">
        <v>33</v>
      </c>
      <c r="E51" s="475" t="s">
        <v>3</v>
      </c>
      <c r="F51" s="476"/>
      <c r="G51" s="477"/>
      <c r="H51" s="475" t="s">
        <v>6</v>
      </c>
      <c r="I51" s="476"/>
      <c r="J51" s="477"/>
      <c r="K51" s="475" t="s">
        <v>4</v>
      </c>
      <c r="L51" s="476"/>
      <c r="M51" s="477"/>
      <c r="N51" s="126" t="s">
        <v>12</v>
      </c>
      <c r="O51" s="329" t="s">
        <v>215</v>
      </c>
      <c r="P51" s="324" t="s">
        <v>2</v>
      </c>
      <c r="Q51" s="98" t="s">
        <v>1</v>
      </c>
      <c r="R51" s="127" t="s">
        <v>2</v>
      </c>
    </row>
    <row r="52" spans="4:18" ht="13.5" thickBot="1">
      <c r="D52" s="2"/>
      <c r="E52" s="130" t="s">
        <v>17</v>
      </c>
      <c r="F52" s="9" t="s">
        <v>14</v>
      </c>
      <c r="G52" s="131" t="s">
        <v>15</v>
      </c>
      <c r="H52" s="134" t="str">
        <f>+E52</f>
        <v>Mesečno</v>
      </c>
      <c r="I52" s="9" t="s">
        <v>84</v>
      </c>
      <c r="J52" s="131" t="s">
        <v>85</v>
      </c>
      <c r="K52" s="134" t="str">
        <f>+H52</f>
        <v>Mesečno</v>
      </c>
      <c r="L52" s="338" t="s">
        <v>223</v>
      </c>
      <c r="M52" s="131" t="s">
        <v>85</v>
      </c>
      <c r="N52" s="28" t="s">
        <v>11</v>
      </c>
      <c r="O52" s="329" t="s">
        <v>214</v>
      </c>
      <c r="P52" s="28" t="s">
        <v>17</v>
      </c>
      <c r="Q52" s="100"/>
      <c r="R52" s="12" t="s">
        <v>47</v>
      </c>
    </row>
    <row r="53" spans="4:18" ht="12.75">
      <c r="D53" s="96" t="s">
        <v>83</v>
      </c>
      <c r="E53" s="29">
        <f>SUM(F53:G53)</f>
        <v>0</v>
      </c>
      <c r="F53" s="11">
        <f>+$F$44*'1.8.2013 Cenovnik JS'!F19</f>
        <v>0</v>
      </c>
      <c r="G53" s="30">
        <f>+$G$44*'1.8.2013 Cenovnik JS'!F20</f>
        <v>0</v>
      </c>
      <c r="H53" s="29">
        <f>SUM(I53:J53)</f>
        <v>0</v>
      </c>
      <c r="I53" s="11">
        <f>IF($J$44&gt;0,$H$44*'1.8.2013 Cenovnik JS'!F17,$I$44*'1.8.2013 Cenovnik JS'!F17)</f>
        <v>0</v>
      </c>
      <c r="J53" s="30">
        <f>+$J$44*'1.8.2013 Cenovnik JS'!F18</f>
        <v>0</v>
      </c>
      <c r="K53" s="29">
        <f>SUM(L53:M53)</f>
        <v>0</v>
      </c>
      <c r="L53" s="11">
        <f>IF(SUM($O$44:$P$44)&gt;0,($K$44+$L$44)*'1.8.2013 Cenovnik JS'!$F$21,($M$44+$N$44)*'1.8.2013 Cenovnik JS'!$F$21)</f>
        <v>0</v>
      </c>
      <c r="M53" s="30">
        <f>IF(SUM($O$44:$P$44)&gt;0,($O$45+$P$45)*'1.8.2013 Cenovnik JS'!$F$22,0)</f>
        <v>0</v>
      </c>
      <c r="N53" s="144">
        <f>+'Visoki napon'!$C$19*'1.8.2013 Cenovnik JS'!F16</f>
        <v>0</v>
      </c>
      <c r="O53" s="331">
        <f>+E44*$N$3</f>
        <v>0</v>
      </c>
      <c r="P53" s="325">
        <f>+E53+H53+K53+N53+O53</f>
        <v>0</v>
      </c>
      <c r="Q53" s="37">
        <f>+P53*$N$1</f>
        <v>0</v>
      </c>
      <c r="R53" s="145">
        <f>+P53+Q53</f>
        <v>0</v>
      </c>
    </row>
    <row r="54" spans="4:18" ht="12.75">
      <c r="D54" s="122" t="s">
        <v>86</v>
      </c>
      <c r="E54" s="132">
        <f>SUM(F54:G54)</f>
        <v>0</v>
      </c>
      <c r="F54" s="123">
        <f>+$F$45*'1.8.2013 Cenovnik JS'!F26</f>
        <v>0</v>
      </c>
      <c r="G54" s="133">
        <f>+$G$45*'1.8.2013 Cenovnik JS'!F27</f>
        <v>0</v>
      </c>
      <c r="H54" s="132">
        <f>SUM(I54:J54)</f>
        <v>0</v>
      </c>
      <c r="I54" s="123">
        <f>IF($J$45&gt;0,$H$45*'1.8.2013 Cenovnik JS'!F24,$I$45*'1.8.2013 Cenovnik JS'!F24)</f>
        <v>0</v>
      </c>
      <c r="J54" s="133">
        <f>+$J$45*'1.8.2013 Cenovnik JS'!F25</f>
        <v>0</v>
      </c>
      <c r="K54" s="132">
        <f>SUM(L54:M54)</f>
        <v>0</v>
      </c>
      <c r="L54" s="123">
        <f>IF(SUM($O$45:$P$45)&gt;0,($K$45+$L$45)*'1.8.2013 Cenovnik JS'!$F$28,($M$45+$N$45)*'1.8.2013 Cenovnik JS'!$F$28)</f>
        <v>0</v>
      </c>
      <c r="M54" s="133">
        <f>IF(SUM($O$45:$P$45)&gt;0,($O$45+$P$45)*'1.8.2013 Cenovnik JS'!$F$29,0)</f>
        <v>0</v>
      </c>
      <c r="N54" s="148">
        <f>+'Srednji napon'!$C$19*'1.8.2013 Cenovnik JS'!F23</f>
        <v>0</v>
      </c>
      <c r="O54" s="328">
        <f>+E45*$N$3</f>
        <v>0</v>
      </c>
      <c r="P54" s="326">
        <f>+E54+H54+K54+N54+O54</f>
        <v>0</v>
      </c>
      <c r="Q54" s="125">
        <f>+P54*$N$1</f>
        <v>0</v>
      </c>
      <c r="R54" s="149">
        <f>+P54+Q54</f>
        <v>0</v>
      </c>
    </row>
    <row r="55" spans="4:18" ht="13.5" thickBot="1">
      <c r="D55" s="138" t="s">
        <v>87</v>
      </c>
      <c r="E55" s="139">
        <f>SUM(F55:G55)</f>
        <v>0</v>
      </c>
      <c r="F55" s="140">
        <f>+$F$46*'1.8.2013 Cenovnik JS'!F33</f>
        <v>0</v>
      </c>
      <c r="G55" s="141">
        <f>+$G$46*'1.8.2013 Cenovnik JS'!F34</f>
        <v>0</v>
      </c>
      <c r="H55" s="139">
        <f>SUM(I55:J55)</f>
        <v>0</v>
      </c>
      <c r="I55" s="140">
        <f>IF($J$46&gt;0,$H$46*'1.8.2013 Cenovnik JS'!F31,$I$46*'1.8.2013 Cenovnik JS'!F31)</f>
        <v>0</v>
      </c>
      <c r="J55" s="141">
        <f>+$J$46*'1.8.2013 Cenovnik JS'!F32</f>
        <v>0</v>
      </c>
      <c r="K55" s="139">
        <f>SUM(L55:M55)</f>
        <v>0</v>
      </c>
      <c r="L55" s="140">
        <f>IF(SUM($O$46:$P$46)&gt;0,($K$46+$L$46)*'1.8.2013 Cenovnik JS'!$F$35,($M$46+$N$46)*'1.8.2013 Cenovnik JS'!$F$35)</f>
        <v>0</v>
      </c>
      <c r="M55" s="141">
        <f>IF(SUM($O$46:$P$46)&gt;0,($O$46+$P$46)*'1.8.2013 Cenovnik JS'!$F$36,0)</f>
        <v>0</v>
      </c>
      <c r="N55" s="146">
        <f>+'Niski napon'!$C$19*'1.8.2013 Cenovnik JS'!F30</f>
        <v>0</v>
      </c>
      <c r="O55" s="330">
        <f>+E46*$N$3</f>
        <v>0</v>
      </c>
      <c r="P55" s="327">
        <f>+E55+H55+K55+N55+O55</f>
        <v>0</v>
      </c>
      <c r="Q55" s="39">
        <f>+P55*$N$1</f>
        <v>0</v>
      </c>
      <c r="R55" s="147">
        <f>+P55+Q55</f>
        <v>0</v>
      </c>
    </row>
    <row r="56" ht="13.5" thickTop="1"/>
    <row r="57" ht="12.75">
      <c r="D57" s="20" t="s">
        <v>120</v>
      </c>
    </row>
    <row r="58" ht="13.5" thickBot="1"/>
    <row r="59" spans="4:16" ht="13.5" thickTop="1">
      <c r="D59" s="21" t="s">
        <v>32</v>
      </c>
      <c r="E59" s="457" t="str">
        <f>+E50</f>
        <v>Dinara</v>
      </c>
      <c r="F59" s="458"/>
      <c r="G59" s="458"/>
      <c r="H59" s="458"/>
      <c r="I59" s="458"/>
      <c r="J59" s="458"/>
      <c r="K59" s="458"/>
      <c r="L59" s="458"/>
      <c r="M59" s="458"/>
      <c r="N59" s="458"/>
      <c r="O59" s="458"/>
      <c r="P59" s="459"/>
    </row>
    <row r="60" spans="4:16" ht="12.75">
      <c r="D60" s="22" t="s">
        <v>33</v>
      </c>
      <c r="E60" s="454" t="str">
        <f>+E51</f>
        <v>Aktivna energija</v>
      </c>
      <c r="F60" s="455"/>
      <c r="G60" s="456"/>
      <c r="H60" s="454" t="str">
        <f>+H51</f>
        <v>Snaga</v>
      </c>
      <c r="I60" s="455"/>
      <c r="J60" s="456"/>
      <c r="K60" s="454" t="str">
        <f>+K51</f>
        <v>Reaktivna energija</v>
      </c>
      <c r="L60" s="455"/>
      <c r="M60" s="456"/>
      <c r="N60" s="98" t="s">
        <v>2</v>
      </c>
      <c r="O60" s="98" t="s">
        <v>1</v>
      </c>
      <c r="P60" s="127" t="s">
        <v>2</v>
      </c>
    </row>
    <row r="61" spans="4:16" ht="13.5" thickBot="1">
      <c r="D61" s="2"/>
      <c r="E61" s="130" t="s">
        <v>17</v>
      </c>
      <c r="F61" s="9" t="s">
        <v>14</v>
      </c>
      <c r="G61" s="131" t="s">
        <v>15</v>
      </c>
      <c r="H61" s="134" t="str">
        <f>+E61</f>
        <v>Mesečno</v>
      </c>
      <c r="I61" s="9" t="s">
        <v>84</v>
      </c>
      <c r="J61" s="131" t="s">
        <v>85</v>
      </c>
      <c r="K61" s="134" t="str">
        <f>+H61</f>
        <v>Mesečno</v>
      </c>
      <c r="L61" s="338" t="s">
        <v>223</v>
      </c>
      <c r="M61" s="131" t="s">
        <v>85</v>
      </c>
      <c r="N61" s="9" t="s">
        <v>17</v>
      </c>
      <c r="O61" s="100"/>
      <c r="P61" s="12" t="s">
        <v>47</v>
      </c>
    </row>
    <row r="62" spans="4:16" ht="13.5" thickBot="1">
      <c r="D62" s="96" t="s">
        <v>83</v>
      </c>
      <c r="E62" s="29">
        <f aca="true" t="shared" si="10" ref="E62:E72">SUM(F62:G62)</f>
        <v>0</v>
      </c>
      <c r="F62" s="11">
        <f>+$F$44*'1.3.2013 Cenovnik za EMS'!$E$17</f>
        <v>0</v>
      </c>
      <c r="G62" s="30">
        <f>+$G$44*'1.3.2013 Cenovnik za EMS'!$E$18</f>
        <v>0</v>
      </c>
      <c r="H62" s="29">
        <f aca="true" t="shared" si="11" ref="H62:H72">SUM(I62:J62)</f>
        <v>0</v>
      </c>
      <c r="I62" s="11">
        <f>IF($J$44&gt;0,$H$44*'1.3.2013 Cenovnik za EMS'!$E$15,$I$44*'1.3.2013 Cenovnik za EMS'!$E$15)</f>
        <v>0</v>
      </c>
      <c r="J62" s="30">
        <f>+$J$44*'1.3.2013 Cenovnik za EMS'!$E$16</f>
        <v>0</v>
      </c>
      <c r="K62" s="29">
        <f aca="true" t="shared" si="12" ref="K62:K72">SUM(L62:M62)</f>
        <v>0</v>
      </c>
      <c r="L62" s="11">
        <f>IF(SUM($O$44:$P$44)&gt;0,($K$44+$L$44)*'1.3.2013 Cenovnik za EMS'!E19,($M$44+$N$44)*'1.3.2013 Cenovnik za EMS'!E19)</f>
        <v>0</v>
      </c>
      <c r="M62" s="30">
        <f>IF(SUM($O$44:$P$44)&gt;0,($O$45+$P$45)*'1.3.2013 Cenovnik za EMS'!E20,0)</f>
        <v>0</v>
      </c>
      <c r="N62" s="36">
        <f aca="true" t="shared" si="13" ref="N62:N72">+E62+H62+K62</f>
        <v>0</v>
      </c>
      <c r="O62" s="37">
        <f>+N62*$N$1</f>
        <v>0</v>
      </c>
      <c r="P62" s="145">
        <f aca="true" t="shared" si="14" ref="P62:P72">+N62+O62</f>
        <v>0</v>
      </c>
    </row>
    <row r="63" spans="4:16" ht="12.75">
      <c r="D63" s="232" t="s">
        <v>121</v>
      </c>
      <c r="E63" s="241">
        <f t="shared" si="10"/>
        <v>0</v>
      </c>
      <c r="F63" s="219">
        <f>+$F$45*'1.8.2013 Cenovnik za ED NS'!$F$21</f>
        <v>0</v>
      </c>
      <c r="G63" s="242">
        <f>+$G$45*'1.8.2013 Cenovnik za ED NS'!$F$22</f>
        <v>0</v>
      </c>
      <c r="H63" s="241">
        <f t="shared" si="11"/>
        <v>0</v>
      </c>
      <c r="I63" s="219">
        <f>+$H$45*'1.8.2013 Cenovnik za ED NS'!$F$19</f>
        <v>0</v>
      </c>
      <c r="J63" s="242">
        <f>+$J$45*'1.8.2013 Cenovnik za ED NS'!$F$20</f>
        <v>0</v>
      </c>
      <c r="K63" s="241">
        <f t="shared" si="12"/>
        <v>0</v>
      </c>
      <c r="L63" s="219">
        <f>IF(SUM($O$45:$P$45)&gt;0,($K$45+$L$45)*'1.8.2013 Cenovnik za ED NS'!$F$23,($M$45+$N$45)*'1.8.2013 Cenovnik za ED NS'!$F$23)</f>
        <v>0</v>
      </c>
      <c r="M63" s="242">
        <f>IF(SUM($O$45:$P$45)&gt;0,($O$45+$P$45)*'1.8.2013 Cenovnik za ED NS'!$F$24,0)</f>
        <v>0</v>
      </c>
      <c r="N63" s="222">
        <f t="shared" si="13"/>
        <v>0</v>
      </c>
      <c r="O63" s="243">
        <f aca="true" t="shared" si="15" ref="O63:O72">+N63*$N$1</f>
        <v>0</v>
      </c>
      <c r="P63" s="244">
        <f t="shared" si="14"/>
        <v>0</v>
      </c>
    </row>
    <row r="64" spans="3:16" ht="12.75">
      <c r="C64" t="s">
        <v>146</v>
      </c>
      <c r="D64" s="122" t="s">
        <v>123</v>
      </c>
      <c r="E64" s="132">
        <f t="shared" si="10"/>
        <v>0</v>
      </c>
      <c r="F64" s="123">
        <f>+$F$45*'1.8.2013 Cenovnik za ED BG'!$F$21</f>
        <v>0</v>
      </c>
      <c r="G64" s="133">
        <f>+$G$45*'1.8.2013 Cenovnik za ED BG'!$F$22</f>
        <v>0</v>
      </c>
      <c r="H64" s="132">
        <f t="shared" si="11"/>
        <v>0</v>
      </c>
      <c r="I64" s="123">
        <f>+$H$45*'1.8.2013 Cenovnik za ED BG'!$F$19</f>
        <v>0</v>
      </c>
      <c r="J64" s="133">
        <f>+$J$45*'1.8.2013 Cenovnik za ED BG'!$F$20</f>
        <v>0</v>
      </c>
      <c r="K64" s="132">
        <f t="shared" si="12"/>
        <v>0</v>
      </c>
      <c r="L64" s="339">
        <f>IF(SUM($O$45:$P$45)&gt;0,($K$45+$L$45)*'1.8.2013 Cenovnik za ED BG'!$F$23,($M$45+$N$45)*'1.8.2013 Cenovnik za ED BG'!$F$23)</f>
        <v>0</v>
      </c>
      <c r="M64" s="133">
        <f>IF(SUM($O$45:$P$45)&gt;0,($O$45+$P$45)*'1.8.2013 Cenovnik za ED BG'!$F$24,0)</f>
        <v>0</v>
      </c>
      <c r="N64" s="124">
        <f t="shared" si="13"/>
        <v>0</v>
      </c>
      <c r="O64" s="125">
        <f t="shared" si="15"/>
        <v>0</v>
      </c>
      <c r="P64" s="149">
        <f t="shared" si="14"/>
        <v>0</v>
      </c>
    </row>
    <row r="65" spans="3:16" ht="12.75">
      <c r="C65">
        <v>6</v>
      </c>
      <c r="D65" s="122" t="s">
        <v>124</v>
      </c>
      <c r="E65" s="132">
        <f t="shared" si="10"/>
        <v>0</v>
      </c>
      <c r="F65" s="123">
        <f>+$F$45*'1.8.2013 Cenovnik za ED KV'!$F$21</f>
        <v>0</v>
      </c>
      <c r="G65" s="133">
        <f>+$G$45*'1.8.2013 Cenovnik za ED KV'!$F$22</f>
        <v>0</v>
      </c>
      <c r="H65" s="132">
        <f t="shared" si="11"/>
        <v>0</v>
      </c>
      <c r="I65" s="123">
        <f>+$H$45*'1.8.2013 Cenovnik za ED KV'!$F$19</f>
        <v>0</v>
      </c>
      <c r="J65" s="133">
        <f>+$J$45*'1.8.2013 Cenovnik za ED KV'!$F$20</f>
        <v>0</v>
      </c>
      <c r="K65" s="132">
        <f t="shared" si="12"/>
        <v>0</v>
      </c>
      <c r="L65" s="123">
        <f>IF(SUM($O$45:$P$45)&gt;0,($K$45+$L$45)*'1.8.2013 Cenovnik za ED KV'!$F$23,($M$45+$N$45)*'1.8.2013 Cenovnik za ED KV'!$F$23)</f>
        <v>0</v>
      </c>
      <c r="M65" s="133">
        <f>IF(SUM($O$45:$P$45)&gt;0,($O$45+$P$45)*'1.8.2013 Cenovnik za ED KV'!$F$24,0)</f>
        <v>0</v>
      </c>
      <c r="N65" s="124">
        <f t="shared" si="13"/>
        <v>0</v>
      </c>
      <c r="O65" s="125">
        <f t="shared" si="15"/>
        <v>0</v>
      </c>
      <c r="P65" s="149">
        <f t="shared" si="14"/>
        <v>0</v>
      </c>
    </row>
    <row r="66" spans="4:16" ht="12.75">
      <c r="D66" s="122" t="s">
        <v>125</v>
      </c>
      <c r="E66" s="132">
        <f t="shared" si="10"/>
        <v>0</v>
      </c>
      <c r="F66" s="123">
        <f>+$F$45*'1.8.2013 Cenovnik za ED NI'!$F$21</f>
        <v>0</v>
      </c>
      <c r="G66" s="133">
        <f>+$G$45*'1.8.2013 Cenovnik za ED NI'!$F$22</f>
        <v>0</v>
      </c>
      <c r="H66" s="132">
        <f t="shared" si="11"/>
        <v>0</v>
      </c>
      <c r="I66" s="123">
        <f>+$H$45*'1.8.2013 Cenovnik za ED NI'!$F$19</f>
        <v>0</v>
      </c>
      <c r="J66" s="133">
        <f>+$J$45*'1.8.2013 Cenovnik za ED NI'!$F$20</f>
        <v>0</v>
      </c>
      <c r="K66" s="132">
        <f t="shared" si="12"/>
        <v>0</v>
      </c>
      <c r="L66" s="123">
        <f>IF(SUM($O$45:$P$45)&gt;0,($K$45+$L$45)*'1.8.2013 Cenovnik za ED NI'!$F$23,($M$45+$N$45)*'1.8.2013 Cenovnik za ED NI'!$F$23)</f>
        <v>0</v>
      </c>
      <c r="M66" s="133">
        <f>IF(SUM($O$45:$P$45)&gt;0,($O$45+$P$45)*'1.8.2013 Cenovnik za ED NI'!$F$24,0)</f>
        <v>0</v>
      </c>
      <c r="N66" s="124">
        <f t="shared" si="13"/>
        <v>0</v>
      </c>
      <c r="O66" s="125">
        <f t="shared" si="15"/>
        <v>0</v>
      </c>
      <c r="P66" s="149">
        <f t="shared" si="14"/>
        <v>0</v>
      </c>
    </row>
    <row r="67" spans="4:16" ht="13.5" thickBot="1">
      <c r="D67" s="233" t="s">
        <v>126</v>
      </c>
      <c r="E67" s="245">
        <f t="shared" si="10"/>
        <v>0</v>
      </c>
      <c r="F67" s="229">
        <f>+$F$45*'1.8.2013 Cenovnik za ED KG'!$F$21</f>
        <v>0</v>
      </c>
      <c r="G67" s="246">
        <f>+$G$45*'1.8.2013 Cenovnik za ED KG'!$F$22</f>
        <v>0</v>
      </c>
      <c r="H67" s="245">
        <f t="shared" si="11"/>
        <v>0</v>
      </c>
      <c r="I67" s="229">
        <f>+$H$45*'1.8.2013 Cenovnik za ED KG'!$F$19</f>
        <v>0</v>
      </c>
      <c r="J67" s="246">
        <f>+$J$45*'1.8.2013 Cenovnik za ED KG'!$F$20</f>
        <v>0</v>
      </c>
      <c r="K67" s="245">
        <f t="shared" si="12"/>
        <v>0</v>
      </c>
      <c r="L67" s="229">
        <f>IF(SUM($O$45:$P$45)&gt;0,($K$45+$L$45)*'1.8.2013 Cenovnik za ED KG'!$F$23,($M$45+$N$45)*'1.8.2013 Cenovnik za ED KG'!$F$23)</f>
        <v>0</v>
      </c>
      <c r="M67" s="246">
        <f>IF(SUM($O$45:$P$45)&gt;0,($O$45+$P$45)*'1.8.2013 Cenovnik za ED KG'!$F$24,0)</f>
        <v>0</v>
      </c>
      <c r="N67" s="230">
        <f t="shared" si="13"/>
        <v>0</v>
      </c>
      <c r="O67" s="247">
        <f t="shared" si="15"/>
        <v>0</v>
      </c>
      <c r="P67" s="248">
        <f t="shared" si="14"/>
        <v>0</v>
      </c>
    </row>
    <row r="68" spans="4:16" ht="12.75">
      <c r="D68" s="224" t="s">
        <v>122</v>
      </c>
      <c r="E68" s="239">
        <f t="shared" si="10"/>
        <v>0</v>
      </c>
      <c r="F68" s="221">
        <f>+$F$46*'1.8.2013 Cenovnik za ED NS'!$F$27</f>
        <v>0</v>
      </c>
      <c r="G68" s="240">
        <f>+$G$46*'1.8.2013 Cenovnik za ED NS'!$F$28</f>
        <v>0</v>
      </c>
      <c r="H68" s="239">
        <f t="shared" si="11"/>
        <v>0</v>
      </c>
      <c r="I68" s="219">
        <f>+$H$46*'1.8.2013 Cenovnik za ED NS'!$F$25</f>
        <v>0</v>
      </c>
      <c r="J68" s="242">
        <f>+$J$46*'1.8.2013 Cenovnik za ED NS'!$F$26</f>
        <v>0</v>
      </c>
      <c r="K68" s="239">
        <f t="shared" si="12"/>
        <v>0</v>
      </c>
      <c r="L68" s="221">
        <f>IF(SUM($O$46:$P$46)&gt;0,($K$46+$L$46)*'1.8.2013 Cenovnik za ED NS'!$F$29,($M$46+$N$46)*'1.8.2013 Cenovnik za ED NS'!$F$29)</f>
        <v>0</v>
      </c>
      <c r="M68" s="240">
        <f>IF(SUM($O$46:$P$46)&gt;0,($O$46+$P$46)*'1.8.2013 Cenovnik za ED NS'!$F$30,0)</f>
        <v>0</v>
      </c>
      <c r="N68" s="226">
        <f t="shared" si="13"/>
        <v>0</v>
      </c>
      <c r="O68" s="227">
        <f t="shared" si="15"/>
        <v>0</v>
      </c>
      <c r="P68" s="238">
        <f t="shared" si="14"/>
        <v>0</v>
      </c>
    </row>
    <row r="69" spans="3:16" ht="12.75">
      <c r="C69" t="s">
        <v>146</v>
      </c>
      <c r="D69" s="122" t="s">
        <v>127</v>
      </c>
      <c r="E69" s="132">
        <f t="shared" si="10"/>
        <v>0</v>
      </c>
      <c r="F69" s="123">
        <f>+$F$46*'1.8.2013 Cenovnik za ED BG'!$F$27</f>
        <v>0</v>
      </c>
      <c r="G69" s="133">
        <f>+$G$46*'1.8.2013 Cenovnik za ED BG'!$F$28</f>
        <v>0</v>
      </c>
      <c r="H69" s="132">
        <f t="shared" si="11"/>
        <v>0</v>
      </c>
      <c r="I69" s="123">
        <f>+$H$46*'1.8.2013 Cenovnik za ED BG'!$F$25</f>
        <v>0</v>
      </c>
      <c r="J69" s="133">
        <f>+$J$46*'1.8.2013 Cenovnik za ED BG'!$F$26</f>
        <v>0</v>
      </c>
      <c r="K69" s="132">
        <f t="shared" si="12"/>
        <v>0</v>
      </c>
      <c r="L69" s="123">
        <f>IF(SUM($O$46:$P$46)&gt;0,($K$46+$L$46)*'1.8.2013 Cenovnik za ED BG'!$F$29,($M$46+$N$46)*'1.8.2013 Cenovnik za ED BG'!$F$29)</f>
        <v>0</v>
      </c>
      <c r="M69" s="133">
        <f>IF(SUM($O$46:$P$46)&gt;0,($O$46+$P$46)*'1.8.2013 Cenovnik za ED BG'!$F$30,0)</f>
        <v>0</v>
      </c>
      <c r="N69" s="226">
        <f t="shared" si="13"/>
        <v>0</v>
      </c>
      <c r="O69" s="227">
        <f t="shared" si="15"/>
        <v>0</v>
      </c>
      <c r="P69" s="238">
        <f t="shared" si="14"/>
        <v>0</v>
      </c>
    </row>
    <row r="70" spans="3:16" ht="12.75">
      <c r="C70">
        <v>6</v>
      </c>
      <c r="D70" s="122" t="s">
        <v>128</v>
      </c>
      <c r="E70" s="132">
        <f t="shared" si="10"/>
        <v>0</v>
      </c>
      <c r="F70" s="123">
        <f>+$F$46*'1.8.2013 Cenovnik za ED KV'!$F$27</f>
        <v>0</v>
      </c>
      <c r="G70" s="133">
        <f>+$G$46*'1.8.2013 Cenovnik za ED KV'!$F$28</f>
        <v>0</v>
      </c>
      <c r="H70" s="132">
        <f t="shared" si="11"/>
        <v>0</v>
      </c>
      <c r="I70" s="123">
        <f>+$H$46*'1.8.2013 Cenovnik za ED KV'!$F$25</f>
        <v>0</v>
      </c>
      <c r="J70" s="133">
        <f>+$J$46*'1.8.2013 Cenovnik za ED KV'!$F$26</f>
        <v>0</v>
      </c>
      <c r="K70" s="132">
        <f t="shared" si="12"/>
        <v>0</v>
      </c>
      <c r="L70" s="123">
        <f>IF(SUM($O$46:$P$46)&gt;0,($K$46+$L$46)*'1.8.2013 Cenovnik za ED KV'!$F$29,($M$46+$N$46)*'1.8.2013 Cenovnik za ED KV'!$F$29)</f>
        <v>0</v>
      </c>
      <c r="M70" s="133">
        <f>IF(SUM($O$46:$P$46)&gt;0,($O$46+$P$46)*'1.8.2013 Cenovnik za ED KV'!$F$30,0)</f>
        <v>0</v>
      </c>
      <c r="N70" s="124">
        <f t="shared" si="13"/>
        <v>0</v>
      </c>
      <c r="O70" s="125">
        <f t="shared" si="15"/>
        <v>0</v>
      </c>
      <c r="P70" s="149">
        <f t="shared" si="14"/>
        <v>0</v>
      </c>
    </row>
    <row r="71" spans="4:16" ht="12.75">
      <c r="D71" s="122" t="s">
        <v>129</v>
      </c>
      <c r="E71" s="132">
        <f t="shared" si="10"/>
        <v>0</v>
      </c>
      <c r="F71" s="123">
        <f>+$F$46*'1.8.2013 Cenovnik za ED NI'!$F$27</f>
        <v>0</v>
      </c>
      <c r="G71" s="133">
        <f>+$G$46*'1.8.2013 Cenovnik za ED NI'!$F$28</f>
        <v>0</v>
      </c>
      <c r="H71" s="132">
        <f t="shared" si="11"/>
        <v>0</v>
      </c>
      <c r="I71" s="123">
        <f>+$H$46*'1.8.2013 Cenovnik za ED NI'!$F$25</f>
        <v>0</v>
      </c>
      <c r="J71" s="133">
        <f>+$J$46*'1.8.2013 Cenovnik za ED NI'!$F$26</f>
        <v>0</v>
      </c>
      <c r="K71" s="132">
        <f t="shared" si="12"/>
        <v>0</v>
      </c>
      <c r="L71" s="123">
        <f>IF(SUM($O$46:$P$46)&gt;0,($K$46+$L$46)*'1.8.2013 Cenovnik za ED NI'!$F$29,($M$46+$N$46)*'1.8.2013 Cenovnik za ED NI'!$F$29)</f>
        <v>0</v>
      </c>
      <c r="M71" s="133">
        <f>IF(SUM($O$46:$P$46)&gt;0,($O$46+$P$46)*'1.8.2013 Cenovnik za ED NI'!$F$30,0)</f>
        <v>0</v>
      </c>
      <c r="N71" s="226">
        <f t="shared" si="13"/>
        <v>0</v>
      </c>
      <c r="O71" s="227">
        <f t="shared" si="15"/>
        <v>0</v>
      </c>
      <c r="P71" s="238">
        <f t="shared" si="14"/>
        <v>0</v>
      </c>
    </row>
    <row r="72" spans="4:16" ht="13.5" thickBot="1">
      <c r="D72" s="138" t="s">
        <v>130</v>
      </c>
      <c r="E72" s="139">
        <f t="shared" si="10"/>
        <v>0</v>
      </c>
      <c r="F72" s="140">
        <f>+$F$46*'1.8.2013 Cenovnik za ED KG'!$F$27</f>
        <v>0</v>
      </c>
      <c r="G72" s="141">
        <f>+$G$46*'1.8.2013 Cenovnik za ED KG'!$F$28</f>
        <v>0</v>
      </c>
      <c r="H72" s="139">
        <f t="shared" si="11"/>
        <v>0</v>
      </c>
      <c r="I72" s="140">
        <f>+$H$46*'1.8.2013 Cenovnik za ED KG'!$F$25</f>
        <v>0</v>
      </c>
      <c r="J72" s="141">
        <f>+$J$46*'1.8.2013 Cenovnik za ED KG'!$F$26</f>
        <v>0</v>
      </c>
      <c r="K72" s="139">
        <f t="shared" si="12"/>
        <v>0</v>
      </c>
      <c r="L72" s="140">
        <f>IF(SUM($O$46:$P$46)&gt;0,($K$46+$L$46)*'1.8.2013 Cenovnik za ED KG'!$F$29,($M$46+$N$46)*'1.8.2013 Cenovnik za ED KG'!$F$29)</f>
        <v>0</v>
      </c>
      <c r="M72" s="141">
        <f>IF(SUM($O$46:$P$46)&gt;0,($O$46+$P$46)*'1.8.2013 Cenovnik za ED KG'!$F$30,0)</f>
        <v>0</v>
      </c>
      <c r="N72" s="18">
        <f t="shared" si="13"/>
        <v>0</v>
      </c>
      <c r="O72" s="39">
        <f t="shared" si="15"/>
        <v>0</v>
      </c>
      <c r="P72" s="147">
        <f t="shared" si="14"/>
        <v>0</v>
      </c>
    </row>
    <row r="73" ht="13.5" thickTop="1"/>
  </sheetData>
  <sheetProtection/>
  <mergeCells count="32">
    <mergeCell ref="H51:J51"/>
    <mergeCell ref="K51:M51"/>
    <mergeCell ref="E50:R50"/>
    <mergeCell ref="M8:N8"/>
    <mergeCell ref="O8:P8"/>
    <mergeCell ref="F8:H8"/>
    <mergeCell ref="K42:L42"/>
    <mergeCell ref="M42:N42"/>
    <mergeCell ref="O42:P42"/>
    <mergeCell ref="H17:I17"/>
    <mergeCell ref="J17:K17"/>
    <mergeCell ref="L17:N17"/>
    <mergeCell ref="F25:H25"/>
    <mergeCell ref="F24:N24"/>
    <mergeCell ref="F17:G17"/>
    <mergeCell ref="E1:G1"/>
    <mergeCell ref="H1:J1"/>
    <mergeCell ref="K1:L1"/>
    <mergeCell ref="I8:J8"/>
    <mergeCell ref="K8:L8"/>
    <mergeCell ref="F16:V16"/>
    <mergeCell ref="F7:P7"/>
    <mergeCell ref="E60:G60"/>
    <mergeCell ref="H60:J60"/>
    <mergeCell ref="K60:M60"/>
    <mergeCell ref="E59:P59"/>
    <mergeCell ref="E41:G41"/>
    <mergeCell ref="H41:J41"/>
    <mergeCell ref="H42:J42"/>
    <mergeCell ref="E42:G42"/>
    <mergeCell ref="K41:P41"/>
    <mergeCell ref="E51:G51"/>
  </mergeCells>
  <printOptions horizontalCentered="1"/>
  <pageMargins left="0.5" right="0.5" top="0.5" bottom="0.5" header="0.25" footer="0.25"/>
  <pageSetup fitToHeight="1" fitToWidth="1" horizontalDpi="600" verticalDpi="600" orientation="landscape" paperSize="9" scale="73" r:id="rId1"/>
  <headerFooter alignWithMargins="0">
    <oddHeader>&amp;L&amp;F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L76"/>
  <sheetViews>
    <sheetView showGridLines="0" zoomScalePageLayoutView="0" workbookViewId="0" topLeftCell="A11">
      <selection activeCell="F35" sqref="F35:F36"/>
    </sheetView>
  </sheetViews>
  <sheetFormatPr defaultColWidth="8.8515625" defaultRowHeight="12.75"/>
  <cols>
    <col min="1" max="1" width="9.140625" style="44" customWidth="1"/>
    <col min="2" max="2" width="22.140625" style="44" customWidth="1"/>
    <col min="3" max="3" width="22.421875" style="44" customWidth="1"/>
    <col min="4" max="4" width="18.421875" style="44" customWidth="1"/>
    <col min="5" max="5" width="12.421875" style="44" customWidth="1"/>
    <col min="6" max="6" width="20.57421875" style="45" customWidth="1"/>
    <col min="7" max="7" width="15.8515625" style="45" hidden="1" customWidth="1"/>
    <col min="8" max="8" width="15.28125" style="45" hidden="1" customWidth="1"/>
    <col min="9" max="9" width="18.7109375" style="45" hidden="1" customWidth="1"/>
    <col min="10" max="12" width="14.140625" style="45" hidden="1" customWidth="1"/>
    <col min="13" max="16384" width="8.8515625" style="44" customWidth="1"/>
  </cols>
  <sheetData>
    <row r="2" spans="2:12" ht="69.75" customHeight="1">
      <c r="B2" s="362"/>
      <c r="C2" s="362"/>
      <c r="D2" s="362"/>
      <c r="E2" s="362"/>
      <c r="F2" s="362"/>
      <c r="G2" s="362"/>
      <c r="H2" s="362"/>
      <c r="I2" s="166"/>
      <c r="J2" s="47"/>
      <c r="K2" s="47"/>
      <c r="L2" s="47"/>
    </row>
    <row r="3" spans="2:12" ht="15">
      <c r="B3" s="167"/>
      <c r="C3" s="167"/>
      <c r="D3" s="167"/>
      <c r="E3" s="167"/>
      <c r="F3" s="167"/>
      <c r="G3" s="167"/>
      <c r="H3" s="167"/>
      <c r="I3" s="166"/>
      <c r="J3" s="47"/>
      <c r="K3" s="47"/>
      <c r="L3" s="47"/>
    </row>
    <row r="4" spans="2:12" ht="15">
      <c r="B4" s="356"/>
      <c r="C4" s="356"/>
      <c r="D4" s="356"/>
      <c r="E4" s="356"/>
      <c r="F4" s="356"/>
      <c r="G4" s="356"/>
      <c r="H4" s="356"/>
      <c r="I4" s="166"/>
      <c r="J4" s="47"/>
      <c r="K4" s="47"/>
      <c r="L4" s="47"/>
    </row>
    <row r="5" spans="2:12" ht="15" customHeight="1">
      <c r="B5" s="363"/>
      <c r="C5" s="363"/>
      <c r="D5" s="363"/>
      <c r="E5" s="363"/>
      <c r="F5" s="363"/>
      <c r="G5" s="363"/>
      <c r="H5" s="363"/>
      <c r="I5" s="363"/>
      <c r="J5" s="50"/>
      <c r="K5" s="50"/>
      <c r="L5" s="50"/>
    </row>
    <row r="6" spans="2:12" ht="12.75" customHeight="1">
      <c r="B6" s="363"/>
      <c r="C6" s="363"/>
      <c r="D6" s="363"/>
      <c r="E6" s="363"/>
      <c r="F6" s="363"/>
      <c r="G6" s="363"/>
      <c r="H6" s="363"/>
      <c r="I6" s="363"/>
      <c r="J6" s="49">
        <v>1.028681</v>
      </c>
      <c r="K6" s="50">
        <v>1.02868068833652</v>
      </c>
      <c r="L6" s="50"/>
    </row>
    <row r="7" spans="2:12" ht="15.75">
      <c r="B7" s="364" t="s">
        <v>169</v>
      </c>
      <c r="C7" s="364"/>
      <c r="D7" s="364"/>
      <c r="E7" s="364"/>
      <c r="F7" s="364"/>
      <c r="G7" s="364"/>
      <c r="H7" s="364"/>
      <c r="I7" s="364"/>
      <c r="J7" s="51"/>
      <c r="K7" s="51"/>
      <c r="L7" s="51"/>
    </row>
    <row r="8" spans="2:12" ht="15.75">
      <c r="B8" s="364" t="s">
        <v>170</v>
      </c>
      <c r="C8" s="364"/>
      <c r="D8" s="364"/>
      <c r="E8" s="364"/>
      <c r="F8" s="364"/>
      <c r="G8" s="364"/>
      <c r="H8" s="364"/>
      <c r="I8" s="364"/>
      <c r="J8" s="51"/>
      <c r="K8" s="51"/>
      <c r="L8" s="51"/>
    </row>
    <row r="9" spans="2:9" ht="15">
      <c r="B9" s="167"/>
      <c r="C9" s="167"/>
      <c r="D9" s="167"/>
      <c r="E9" s="167"/>
      <c r="F9" s="167"/>
      <c r="G9" s="167"/>
      <c r="H9" s="167"/>
      <c r="I9" s="166"/>
    </row>
    <row r="10" spans="2:9" ht="15">
      <c r="B10" s="167"/>
      <c r="C10" s="167"/>
      <c r="D10" s="167"/>
      <c r="E10" s="167"/>
      <c r="F10" s="167"/>
      <c r="G10" s="167"/>
      <c r="H10" s="167"/>
      <c r="I10" s="166"/>
    </row>
    <row r="11" spans="2:9" ht="15">
      <c r="B11" s="167"/>
      <c r="C11" s="167"/>
      <c r="D11" s="167"/>
      <c r="E11" s="167"/>
      <c r="F11" s="167"/>
      <c r="G11" s="167"/>
      <c r="H11" s="167"/>
      <c r="I11" s="166"/>
    </row>
    <row r="12" spans="2:9" ht="15.75" thickBot="1">
      <c r="B12" s="48"/>
      <c r="C12" s="48"/>
      <c r="D12" s="48"/>
      <c r="E12" s="48"/>
      <c r="F12" s="46"/>
      <c r="G12" s="46"/>
      <c r="H12" s="46"/>
      <c r="I12" s="46"/>
    </row>
    <row r="13" spans="2:12" ht="15" customHeight="1" thickTop="1">
      <c r="B13" s="375" t="s">
        <v>167</v>
      </c>
      <c r="C13" s="377" t="s">
        <v>168</v>
      </c>
      <c r="D13" s="378"/>
      <c r="E13" s="367" t="s">
        <v>34</v>
      </c>
      <c r="F13" s="52" t="s">
        <v>35</v>
      </c>
      <c r="G13" s="357" t="s">
        <v>36</v>
      </c>
      <c r="H13" s="358"/>
      <c r="I13" s="53"/>
      <c r="J13" s="53"/>
      <c r="K13" s="53"/>
      <c r="L13" s="53"/>
    </row>
    <row r="14" spans="2:12" ht="14.25">
      <c r="B14" s="373"/>
      <c r="C14" s="379"/>
      <c r="D14" s="380"/>
      <c r="E14" s="368"/>
      <c r="F14" s="54" t="s">
        <v>37</v>
      </c>
      <c r="G14" s="55" t="s">
        <v>38</v>
      </c>
      <c r="H14" s="56" t="s">
        <v>39</v>
      </c>
      <c r="I14" s="57"/>
      <c r="J14" s="53"/>
      <c r="K14" s="53"/>
      <c r="L14" s="53"/>
    </row>
    <row r="15" spans="2:12" ht="15" thickBot="1">
      <c r="B15" s="376"/>
      <c r="C15" s="381"/>
      <c r="D15" s="382"/>
      <c r="E15" s="369"/>
      <c r="F15" s="58" t="s">
        <v>40</v>
      </c>
      <c r="G15" s="59"/>
      <c r="H15" s="58"/>
      <c r="I15" s="57"/>
      <c r="J15" s="53"/>
      <c r="K15" s="53"/>
      <c r="L15" s="53"/>
    </row>
    <row r="16" spans="2:12" ht="18.75" customHeight="1" thickTop="1">
      <c r="B16" s="372" t="s">
        <v>171</v>
      </c>
      <c r="C16" s="370" t="s">
        <v>172</v>
      </c>
      <c r="D16" s="371"/>
      <c r="E16" s="277"/>
      <c r="F16" s="168">
        <v>121.29</v>
      </c>
      <c r="G16" s="60">
        <v>102.8681</v>
      </c>
      <c r="H16" s="61">
        <v>102.86709228090541</v>
      </c>
      <c r="I16" s="62">
        <v>-0.0010077190945878556</v>
      </c>
      <c r="J16" s="63" t="s">
        <v>6</v>
      </c>
      <c r="K16" s="64" t="s">
        <v>13</v>
      </c>
      <c r="L16" s="64" t="s">
        <v>4</v>
      </c>
    </row>
    <row r="17" spans="2:12" ht="18.75" customHeight="1">
      <c r="B17" s="373"/>
      <c r="C17" s="349" t="s">
        <v>173</v>
      </c>
      <c r="D17" s="350"/>
      <c r="E17" s="280" t="s">
        <v>5</v>
      </c>
      <c r="F17" s="169">
        <v>535.485</v>
      </c>
      <c r="G17" s="66">
        <v>102.8681</v>
      </c>
      <c r="H17" s="67">
        <v>102.86800208336267</v>
      </c>
      <c r="I17" s="62">
        <v>-9.791663732983125E-05</v>
      </c>
      <c r="J17" s="68">
        <v>365043</v>
      </c>
      <c r="K17" s="69">
        <v>0.964</v>
      </c>
      <c r="L17" s="69">
        <v>0.125</v>
      </c>
    </row>
    <row r="18" spans="2:12" ht="18.75" customHeight="1">
      <c r="B18" s="373"/>
      <c r="C18" s="349" t="s">
        <v>174</v>
      </c>
      <c r="D18" s="350"/>
      <c r="E18" s="281" t="s">
        <v>5</v>
      </c>
      <c r="F18" s="169">
        <v>1070.97</v>
      </c>
      <c r="G18" s="66">
        <v>102.86795923225272</v>
      </c>
      <c r="H18" s="67">
        <v>102.86800208336267</v>
      </c>
      <c r="I18" s="62">
        <v>4.285110995283503E-05</v>
      </c>
      <c r="J18" s="70">
        <v>730086</v>
      </c>
      <c r="K18" s="69"/>
      <c r="L18" s="69"/>
    </row>
    <row r="19" spans="2:12" ht="18.75" customHeight="1">
      <c r="B19" s="373"/>
      <c r="C19" s="345" t="s">
        <v>175</v>
      </c>
      <c r="D19" s="346"/>
      <c r="E19" s="282" t="s">
        <v>0</v>
      </c>
      <c r="F19" s="170">
        <v>4.434</v>
      </c>
      <c r="G19" s="71">
        <v>102.8681</v>
      </c>
      <c r="H19" s="72">
        <v>102.87846481876332</v>
      </c>
      <c r="I19" s="62">
        <v>0.010364818763321182</v>
      </c>
      <c r="J19" s="70"/>
      <c r="K19" s="69">
        <v>2.892</v>
      </c>
      <c r="L19" s="63"/>
    </row>
    <row r="20" spans="2:12" ht="18.75" customHeight="1">
      <c r="B20" s="373"/>
      <c r="C20" s="347" t="s">
        <v>176</v>
      </c>
      <c r="D20" s="348"/>
      <c r="E20" s="277" t="str">
        <f>+E19</f>
        <v>kWh</v>
      </c>
      <c r="F20" s="171">
        <v>1.478</v>
      </c>
      <c r="G20" s="60">
        <v>102.8681</v>
      </c>
      <c r="H20" s="61">
        <v>102.87846481876332</v>
      </c>
      <c r="I20" s="62">
        <v>0.010364818763321182</v>
      </c>
      <c r="J20" s="70"/>
      <c r="K20" s="69"/>
      <c r="L20" s="63"/>
    </row>
    <row r="21" spans="2:12" ht="18.75" customHeight="1">
      <c r="B21" s="373"/>
      <c r="C21" s="349" t="s">
        <v>177</v>
      </c>
      <c r="D21" s="350"/>
      <c r="E21" s="283" t="s">
        <v>42</v>
      </c>
      <c r="F21" s="172">
        <v>0.181</v>
      </c>
      <c r="G21" s="73">
        <v>102.8681</v>
      </c>
      <c r="H21" s="74">
        <v>102.45901639344261</v>
      </c>
      <c r="I21" s="62">
        <v>-0.4090836065573882</v>
      </c>
      <c r="J21" s="70"/>
      <c r="K21" s="69"/>
      <c r="L21" s="75"/>
    </row>
    <row r="22" spans="2:12" ht="18.75" customHeight="1" thickBot="1">
      <c r="B22" s="374"/>
      <c r="C22" s="349" t="s">
        <v>178</v>
      </c>
      <c r="D22" s="350"/>
      <c r="E22" s="284" t="s">
        <v>42</v>
      </c>
      <c r="F22" s="173">
        <v>0.362</v>
      </c>
      <c r="G22" s="76">
        <v>102.45826393442621</v>
      </c>
      <c r="H22" s="77">
        <v>102.45901639344261</v>
      </c>
      <c r="I22" s="62">
        <v>0.0007524590163967559</v>
      </c>
      <c r="J22" s="70"/>
      <c r="K22" s="69"/>
      <c r="L22" s="69">
        <v>0.25</v>
      </c>
    </row>
    <row r="23" spans="2:12" ht="18.75" customHeight="1">
      <c r="B23" s="372" t="s">
        <v>179</v>
      </c>
      <c r="C23" s="359" t="s">
        <v>172</v>
      </c>
      <c r="D23" s="360"/>
      <c r="E23" s="285"/>
      <c r="F23" s="174">
        <v>121.29</v>
      </c>
      <c r="G23" s="78">
        <v>102.8681</v>
      </c>
      <c r="H23" s="79">
        <v>102.86709228090541</v>
      </c>
      <c r="I23" s="62">
        <v>-0.0010077190945878556</v>
      </c>
      <c r="J23" s="70"/>
      <c r="K23" s="69"/>
      <c r="L23" s="63"/>
    </row>
    <row r="24" spans="2:12" ht="18.75" customHeight="1">
      <c r="B24" s="373"/>
      <c r="C24" s="361" t="s">
        <v>173</v>
      </c>
      <c r="D24" s="350"/>
      <c r="E24" s="280" t="s">
        <v>5</v>
      </c>
      <c r="F24" s="169">
        <v>669.356</v>
      </c>
      <c r="G24" s="66">
        <v>102.8681</v>
      </c>
      <c r="H24" s="67">
        <v>102.86800208336267</v>
      </c>
      <c r="I24" s="62">
        <v>-9.791663732983125E-05</v>
      </c>
      <c r="J24" s="70">
        <v>438051.6</v>
      </c>
      <c r="K24" s="69"/>
      <c r="L24" s="63"/>
    </row>
    <row r="25" spans="2:12" ht="18.75" customHeight="1">
      <c r="B25" s="373"/>
      <c r="C25" s="361" t="s">
        <v>174</v>
      </c>
      <c r="D25" s="350"/>
      <c r="E25" s="281" t="s">
        <v>5</v>
      </c>
      <c r="F25" s="175">
        <v>1338.713</v>
      </c>
      <c r="G25" s="73">
        <v>102.8681</v>
      </c>
      <c r="H25" s="74">
        <v>102.86788477690658</v>
      </c>
      <c r="I25" s="62">
        <v>-0.0002152230934200361</v>
      </c>
      <c r="J25" s="70">
        <v>876103.2</v>
      </c>
      <c r="K25" s="80">
        <v>1.0277242078295021</v>
      </c>
      <c r="L25" s="80"/>
    </row>
    <row r="26" spans="2:12" ht="18.75" customHeight="1">
      <c r="B26" s="373"/>
      <c r="C26" s="365" t="s">
        <v>175</v>
      </c>
      <c r="D26" s="346"/>
      <c r="E26" s="282" t="s">
        <v>0</v>
      </c>
      <c r="F26" s="170">
        <v>4.877</v>
      </c>
      <c r="G26" s="71">
        <v>102.93272035541194</v>
      </c>
      <c r="H26" s="72">
        <v>102.92407108239094</v>
      </c>
      <c r="I26" s="62">
        <v>-0.00864927302100682</v>
      </c>
      <c r="J26" s="70"/>
      <c r="K26" s="69">
        <v>3.1811999999999996</v>
      </c>
      <c r="L26" s="75"/>
    </row>
    <row r="27" spans="2:12" ht="18.75" customHeight="1">
      <c r="B27" s="373"/>
      <c r="C27" s="366" t="s">
        <v>176</v>
      </c>
      <c r="D27" s="348"/>
      <c r="E27" s="277" t="str">
        <f>+E26</f>
        <v>kWh</v>
      </c>
      <c r="F27" s="171">
        <v>1.626</v>
      </c>
      <c r="G27" s="60">
        <v>102.8681</v>
      </c>
      <c r="H27" s="61">
        <v>102.85852713178296</v>
      </c>
      <c r="I27" s="62">
        <v>-0.009572868217034625</v>
      </c>
      <c r="J27" s="69"/>
      <c r="K27" s="69">
        <v>1.0604</v>
      </c>
      <c r="L27" s="63"/>
    </row>
    <row r="28" spans="2:12" ht="18.75" customHeight="1">
      <c r="B28" s="373"/>
      <c r="C28" s="361" t="s">
        <v>177</v>
      </c>
      <c r="D28" s="350"/>
      <c r="E28" s="283" t="s">
        <v>42</v>
      </c>
      <c r="F28" s="172">
        <v>0.407</v>
      </c>
      <c r="G28" s="73">
        <v>102.8681</v>
      </c>
      <c r="H28" s="74">
        <v>102.5390625</v>
      </c>
      <c r="I28" s="62">
        <v>-0.3290374999999983</v>
      </c>
      <c r="J28" s="70"/>
      <c r="K28" s="69"/>
      <c r="L28" s="69">
        <v>0.2625</v>
      </c>
    </row>
    <row r="29" spans="2:12" ht="18.75" customHeight="1" thickBot="1">
      <c r="B29" s="374"/>
      <c r="C29" s="387" t="s">
        <v>178</v>
      </c>
      <c r="D29" s="352"/>
      <c r="E29" s="284" t="s">
        <v>42</v>
      </c>
      <c r="F29" s="173">
        <v>0.815</v>
      </c>
      <c r="G29" s="76">
        <v>102.6727875</v>
      </c>
      <c r="H29" s="77">
        <v>102.734375</v>
      </c>
      <c r="I29" s="62">
        <v>0.06158750000000168</v>
      </c>
      <c r="J29" s="70"/>
      <c r="K29" s="69"/>
      <c r="L29" s="69">
        <v>0.525</v>
      </c>
    </row>
    <row r="30" spans="2:12" ht="18.75" customHeight="1">
      <c r="B30" s="372" t="s">
        <v>180</v>
      </c>
      <c r="C30" s="388" t="s">
        <v>172</v>
      </c>
      <c r="D30" s="389"/>
      <c r="E30" s="285"/>
      <c r="F30" s="174">
        <v>121.29</v>
      </c>
      <c r="G30" s="78">
        <v>102.8681</v>
      </c>
      <c r="H30" s="79">
        <v>102.86709228090541</v>
      </c>
      <c r="I30" s="62">
        <v>-0.0010077190945878556</v>
      </c>
      <c r="J30" s="70"/>
      <c r="K30" s="69"/>
      <c r="L30" s="63"/>
    </row>
    <row r="31" spans="2:12" ht="18.75" customHeight="1">
      <c r="B31" s="373"/>
      <c r="C31" s="349" t="s">
        <v>173</v>
      </c>
      <c r="D31" s="350"/>
      <c r="E31" s="280" t="s">
        <v>5</v>
      </c>
      <c r="F31" s="169">
        <v>803.228</v>
      </c>
      <c r="G31" s="66">
        <v>102.8681</v>
      </c>
      <c r="H31" s="67">
        <v>102.86795215063889</v>
      </c>
      <c r="I31" s="62">
        <v>-0.00014784936111311708</v>
      </c>
      <c r="J31" s="70">
        <v>529312.35</v>
      </c>
      <c r="K31" s="80"/>
      <c r="L31" s="63"/>
    </row>
    <row r="32" spans="2:12" ht="18.75" customHeight="1">
      <c r="B32" s="373"/>
      <c r="C32" s="349" t="s">
        <v>174</v>
      </c>
      <c r="D32" s="350"/>
      <c r="E32" s="281" t="s">
        <v>5</v>
      </c>
      <c r="F32" s="175">
        <v>1606.455</v>
      </c>
      <c r="G32" s="73">
        <v>102.8681970811579</v>
      </c>
      <c r="H32" s="74">
        <v>102.86795215063889</v>
      </c>
      <c r="I32" s="62">
        <v>-0.0002449305190168616</v>
      </c>
      <c r="J32" s="70">
        <v>1058624.7</v>
      </c>
      <c r="K32" s="69"/>
      <c r="L32" s="63"/>
    </row>
    <row r="33" spans="2:12" ht="18.75" customHeight="1">
      <c r="B33" s="373"/>
      <c r="C33" s="345" t="s">
        <v>175</v>
      </c>
      <c r="D33" s="346"/>
      <c r="E33" s="282" t="s">
        <v>0</v>
      </c>
      <c r="F33" s="170">
        <v>6.429</v>
      </c>
      <c r="G33" s="71">
        <v>102.8681</v>
      </c>
      <c r="H33" s="72">
        <v>102.8615196078431</v>
      </c>
      <c r="I33" s="62">
        <v>-0.006580392156891435</v>
      </c>
      <c r="J33" s="70"/>
      <c r="K33" s="69">
        <v>4.1934</v>
      </c>
      <c r="L33" s="63"/>
    </row>
    <row r="34" spans="2:12" ht="18.75" customHeight="1">
      <c r="B34" s="373"/>
      <c r="C34" s="347" t="s">
        <v>176</v>
      </c>
      <c r="D34" s="348"/>
      <c r="E34" s="277" t="str">
        <f>+E33</f>
        <v>kWh</v>
      </c>
      <c r="F34" s="171">
        <v>2.143</v>
      </c>
      <c r="G34" s="60">
        <v>102.8681</v>
      </c>
      <c r="H34" s="61">
        <v>102.88602941176468</v>
      </c>
      <c r="I34" s="62">
        <v>0.017929411764683323</v>
      </c>
      <c r="J34" s="70"/>
      <c r="K34" s="69">
        <v>1.3978</v>
      </c>
      <c r="L34" s="63"/>
    </row>
    <row r="35" spans="2:12" ht="18.75" customHeight="1">
      <c r="B35" s="373"/>
      <c r="C35" s="349" t="s">
        <v>177</v>
      </c>
      <c r="D35" s="350"/>
      <c r="E35" s="283" t="s">
        <v>42</v>
      </c>
      <c r="F35" s="172">
        <v>1.14</v>
      </c>
      <c r="G35" s="73">
        <v>102.8681</v>
      </c>
      <c r="H35" s="74">
        <v>102.49554367201424</v>
      </c>
      <c r="I35" s="62">
        <v>-0.37255632798576244</v>
      </c>
      <c r="J35" s="70"/>
      <c r="K35" s="69"/>
      <c r="L35" s="69">
        <v>0.575</v>
      </c>
    </row>
    <row r="36" spans="2:12" ht="18.75" customHeight="1" thickBot="1">
      <c r="B36" s="374"/>
      <c r="C36" s="351" t="s">
        <v>178</v>
      </c>
      <c r="D36" s="352"/>
      <c r="E36" s="284" t="s">
        <v>42</v>
      </c>
      <c r="F36" s="173">
        <v>2.281</v>
      </c>
      <c r="G36" s="76">
        <v>102.8681</v>
      </c>
      <c r="H36" s="77">
        <v>102.49554367201424</v>
      </c>
      <c r="I36" s="62">
        <v>-0.37255632798576244</v>
      </c>
      <c r="J36" s="70"/>
      <c r="K36" s="69"/>
      <c r="L36" s="69">
        <v>1.15</v>
      </c>
    </row>
    <row r="37" spans="2:12" ht="14.25" customHeight="1">
      <c r="B37" s="372" t="s">
        <v>43</v>
      </c>
      <c r="C37" s="286" t="str">
        <f>+C30</f>
        <v>„трошак јавног снабдевача"</v>
      </c>
      <c r="D37" s="287"/>
      <c r="E37" s="288"/>
      <c r="F37" s="168">
        <v>121.29</v>
      </c>
      <c r="G37" s="60">
        <v>102.8681</v>
      </c>
      <c r="H37" s="61">
        <v>102.86709228090541</v>
      </c>
      <c r="I37" s="62">
        <v>-0.0010077190945878556</v>
      </c>
      <c r="J37" s="70" t="s">
        <v>6</v>
      </c>
      <c r="K37" s="70" t="s">
        <v>13</v>
      </c>
      <c r="L37" s="70" t="s">
        <v>4</v>
      </c>
    </row>
    <row r="38" spans="2:12" ht="16.5">
      <c r="B38" s="373"/>
      <c r="C38" s="349" t="s">
        <v>173</v>
      </c>
      <c r="D38" s="350"/>
      <c r="E38" s="277" t="str">
        <f>+E31</f>
        <v>kW</v>
      </c>
      <c r="F38" s="176">
        <v>42.839</v>
      </c>
      <c r="G38" s="60">
        <v>102.8681</v>
      </c>
      <c r="H38" s="61">
        <v>102.86655405405408</v>
      </c>
      <c r="I38" s="62">
        <v>-0.0015459459459208347</v>
      </c>
      <c r="K38" s="69">
        <v>0.902</v>
      </c>
      <c r="L38" s="63"/>
    </row>
    <row r="39" spans="2:12" ht="16.5">
      <c r="B39" s="373"/>
      <c r="C39" s="289" t="s">
        <v>20</v>
      </c>
      <c r="D39" s="290"/>
      <c r="E39" s="291"/>
      <c r="F39" s="177"/>
      <c r="G39" s="81"/>
      <c r="H39" s="82"/>
      <c r="I39" s="62">
        <v>0</v>
      </c>
      <c r="J39" s="70">
        <v>23727.795000000002</v>
      </c>
      <c r="K39" s="69"/>
      <c r="L39" s="63"/>
    </row>
    <row r="40" spans="2:12" ht="16.5">
      <c r="B40" s="373"/>
      <c r="C40" s="353" t="s">
        <v>181</v>
      </c>
      <c r="D40" s="292" t="s">
        <v>182</v>
      </c>
      <c r="E40" s="277" t="str">
        <f>+E33</f>
        <v>kWh</v>
      </c>
      <c r="F40" s="178">
        <v>4.736</v>
      </c>
      <c r="G40" s="83">
        <v>102.8681</v>
      </c>
      <c r="H40" s="84">
        <v>102.84738041002277</v>
      </c>
      <c r="I40" s="62">
        <v>-0.020719589977233</v>
      </c>
      <c r="J40" s="70"/>
      <c r="K40" s="69">
        <v>3.157</v>
      </c>
      <c r="L40" s="63"/>
    </row>
    <row r="41" spans="2:12" ht="16.5">
      <c r="B41" s="373"/>
      <c r="C41" s="354"/>
      <c r="D41" s="292" t="s">
        <v>183</v>
      </c>
      <c r="E41" s="281" t="str">
        <f>+E40</f>
        <v>kWh</v>
      </c>
      <c r="F41" s="179">
        <v>7.103</v>
      </c>
      <c r="G41" s="85">
        <v>102.84640802603036</v>
      </c>
      <c r="H41" s="86">
        <v>102.83622559652927</v>
      </c>
      <c r="I41" s="62">
        <v>-0.010182429501085721</v>
      </c>
      <c r="J41" s="69">
        <v>4.7355</v>
      </c>
      <c r="K41" s="69">
        <v>4.7355</v>
      </c>
      <c r="L41" s="63"/>
    </row>
    <row r="42" spans="2:12" ht="16.5">
      <c r="B42" s="373"/>
      <c r="C42" s="355"/>
      <c r="D42" s="292" t="s">
        <v>184</v>
      </c>
      <c r="E42" s="293" t="str">
        <f>+E41</f>
        <v>kWh</v>
      </c>
      <c r="F42" s="179">
        <v>14.207</v>
      </c>
      <c r="G42" s="85">
        <v>102.85725283653323</v>
      </c>
      <c r="H42" s="86">
        <v>102.8473804100228</v>
      </c>
      <c r="I42" s="62">
        <v>-0.009872426510440846</v>
      </c>
      <c r="J42" s="69">
        <v>9.471</v>
      </c>
      <c r="K42" s="69">
        <v>9.471</v>
      </c>
      <c r="L42" s="63"/>
    </row>
    <row r="43" spans="2:12" ht="14.25" customHeight="1">
      <c r="B43" s="373"/>
      <c r="C43" s="383" t="s">
        <v>185</v>
      </c>
      <c r="D43" s="294" t="s">
        <v>186</v>
      </c>
      <c r="E43" s="281" t="str">
        <f>+E42</f>
        <v>kWh</v>
      </c>
      <c r="F43" s="180">
        <v>5.412</v>
      </c>
      <c r="G43" s="81">
        <v>102.83962619589977</v>
      </c>
      <c r="H43" s="82">
        <v>102.84738041002277</v>
      </c>
      <c r="I43" s="62">
        <v>0.0077542141229969275</v>
      </c>
      <c r="J43" s="70"/>
      <c r="K43" s="69">
        <v>3.608</v>
      </c>
      <c r="L43" s="63"/>
    </row>
    <row r="44" spans="2:12" ht="16.5">
      <c r="B44" s="373"/>
      <c r="C44" s="384"/>
      <c r="D44" s="295" t="s">
        <v>187</v>
      </c>
      <c r="E44" s="277" t="str">
        <f>+E42</f>
        <v>kWh</v>
      </c>
      <c r="F44" s="181">
        <v>1.353</v>
      </c>
      <c r="G44" s="87">
        <v>102.8681</v>
      </c>
      <c r="H44" s="88">
        <v>102.84738041002277</v>
      </c>
      <c r="I44" s="62">
        <v>-0.020719589977233</v>
      </c>
      <c r="J44" s="70"/>
      <c r="K44" s="69"/>
      <c r="L44" s="63"/>
    </row>
    <row r="45" spans="2:12" ht="16.5">
      <c r="B45" s="373"/>
      <c r="C45" s="384"/>
      <c r="D45" s="294" t="s">
        <v>188</v>
      </c>
      <c r="E45" s="281" t="str">
        <f>+E44</f>
        <v>kWh</v>
      </c>
      <c r="F45" s="179">
        <v>8.118</v>
      </c>
      <c r="G45" s="85">
        <v>102.84911746393317</v>
      </c>
      <c r="H45" s="86">
        <v>102.8473804100228</v>
      </c>
      <c r="I45" s="62">
        <v>-0.0017370539103751526</v>
      </c>
      <c r="J45" s="70"/>
      <c r="K45" s="69">
        <v>5.412</v>
      </c>
      <c r="L45" s="63"/>
    </row>
    <row r="46" spans="2:12" ht="16.5">
      <c r="B46" s="373"/>
      <c r="C46" s="384"/>
      <c r="D46" s="295" t="s">
        <v>189</v>
      </c>
      <c r="E46" s="281" t="str">
        <f>+E44</f>
        <v>kWh</v>
      </c>
      <c r="F46" s="179">
        <v>2.03</v>
      </c>
      <c r="G46" s="85">
        <v>102.8681</v>
      </c>
      <c r="H46" s="86">
        <v>102.8473804100228</v>
      </c>
      <c r="I46" s="62">
        <v>-0.020719589977204578</v>
      </c>
      <c r="J46" s="70"/>
      <c r="K46" s="69">
        <v>1.353</v>
      </c>
      <c r="L46" s="63"/>
    </row>
    <row r="47" spans="2:12" ht="16.5">
      <c r="B47" s="373"/>
      <c r="C47" s="384"/>
      <c r="D47" s="294" t="s">
        <v>190</v>
      </c>
      <c r="E47" s="282" t="str">
        <f>+E46</f>
        <v>kWh</v>
      </c>
      <c r="F47" s="179">
        <v>16.236</v>
      </c>
      <c r="G47" s="85">
        <v>102.84911746393317</v>
      </c>
      <c r="H47" s="86">
        <v>102.8473804100228</v>
      </c>
      <c r="I47" s="62">
        <v>-0.0017370539103751526</v>
      </c>
      <c r="J47" s="70"/>
      <c r="K47" s="69">
        <v>10.824</v>
      </c>
      <c r="L47" s="63"/>
    </row>
    <row r="48" spans="2:12" ht="16.5">
      <c r="B48" s="373"/>
      <c r="C48" s="385"/>
      <c r="D48" s="295" t="s">
        <v>191</v>
      </c>
      <c r="E48" s="277" t="str">
        <f>+E46</f>
        <v>kWh</v>
      </c>
      <c r="F48" s="179">
        <v>4.059</v>
      </c>
      <c r="G48" s="85">
        <v>102.83013492786637</v>
      </c>
      <c r="H48" s="86">
        <v>102.8473804100228</v>
      </c>
      <c r="I48" s="62">
        <v>0.01724548215642585</v>
      </c>
      <c r="J48" s="70"/>
      <c r="K48" s="69">
        <v>2.706</v>
      </c>
      <c r="L48" s="63"/>
    </row>
    <row r="49" spans="2:12" ht="14.25" customHeight="1">
      <c r="B49" s="373"/>
      <c r="C49" s="383" t="s">
        <v>192</v>
      </c>
      <c r="D49" s="294" t="s">
        <v>186</v>
      </c>
      <c r="E49" s="281" t="s">
        <v>0</v>
      </c>
      <c r="F49" s="180">
        <v>5.412</v>
      </c>
      <c r="G49" s="81">
        <v>102.83962619589977</v>
      </c>
      <c r="H49" s="82">
        <v>102.84738041002277</v>
      </c>
      <c r="I49" s="62">
        <v>0.0077542141229969275</v>
      </c>
      <c r="J49" s="70"/>
      <c r="K49" s="69">
        <v>3.608</v>
      </c>
      <c r="L49" s="63"/>
    </row>
    <row r="50" spans="2:12" ht="16.5">
      <c r="B50" s="373"/>
      <c r="C50" s="384"/>
      <c r="D50" s="295" t="s">
        <v>187</v>
      </c>
      <c r="E50" s="281" t="s">
        <v>0</v>
      </c>
      <c r="F50" s="181">
        <v>1.353</v>
      </c>
      <c r="G50" s="87">
        <v>102.8681</v>
      </c>
      <c r="H50" s="88">
        <v>102.84738041002277</v>
      </c>
      <c r="I50" s="62">
        <v>-0.020719589977233</v>
      </c>
      <c r="J50" s="70"/>
      <c r="K50" s="69">
        <v>0.902</v>
      </c>
      <c r="L50" s="63"/>
    </row>
    <row r="51" spans="2:12" ht="16.5">
      <c r="B51" s="373"/>
      <c r="C51" s="384"/>
      <c r="D51" s="294" t="s">
        <v>188</v>
      </c>
      <c r="E51" s="296" t="s">
        <v>0</v>
      </c>
      <c r="F51" s="179">
        <v>6.9</v>
      </c>
      <c r="G51" s="85">
        <v>102.84576860205448</v>
      </c>
      <c r="H51" s="86">
        <v>102.8427869584636</v>
      </c>
      <c r="I51" s="62">
        <v>-0.0029816435908713856</v>
      </c>
      <c r="J51" s="70"/>
      <c r="K51" s="69">
        <v>4.6002</v>
      </c>
      <c r="L51" s="63"/>
    </row>
    <row r="52" spans="2:12" ht="16.5">
      <c r="B52" s="373"/>
      <c r="C52" s="384"/>
      <c r="D52" s="295" t="s">
        <v>189</v>
      </c>
      <c r="E52" s="297" t="s">
        <v>0</v>
      </c>
      <c r="F52" s="179">
        <v>1.725</v>
      </c>
      <c r="G52" s="85">
        <v>103.3149275245755</v>
      </c>
      <c r="H52" s="86">
        <v>102.88873994638068</v>
      </c>
      <c r="I52" s="62">
        <v>-0.42618757819481345</v>
      </c>
      <c r="J52" s="70"/>
      <c r="K52" s="69">
        <v>1.15005</v>
      </c>
      <c r="L52" s="63"/>
    </row>
    <row r="53" spans="2:12" ht="16.5">
      <c r="B53" s="373"/>
      <c r="C53" s="384"/>
      <c r="D53" s="294" t="s">
        <v>190</v>
      </c>
      <c r="E53" s="281" t="s">
        <v>0</v>
      </c>
      <c r="F53" s="179">
        <v>13.801</v>
      </c>
      <c r="G53" s="85">
        <v>102.84576860205448</v>
      </c>
      <c r="H53" s="86">
        <v>102.8427869584636</v>
      </c>
      <c r="I53" s="62">
        <v>-0.0029816435908713856</v>
      </c>
      <c r="J53" s="70"/>
      <c r="K53" s="69">
        <v>9.2004</v>
      </c>
      <c r="L53" s="63"/>
    </row>
    <row r="54" spans="2:12" ht="16.5">
      <c r="B54" s="373"/>
      <c r="C54" s="384"/>
      <c r="D54" s="295" t="s">
        <v>191</v>
      </c>
      <c r="E54" s="277" t="s">
        <v>0</v>
      </c>
      <c r="F54" s="179">
        <v>3.45</v>
      </c>
      <c r="G54" s="85">
        <v>102.8681</v>
      </c>
      <c r="H54" s="86">
        <v>102.8427869584636</v>
      </c>
      <c r="I54" s="62">
        <v>-0.02531304153639269</v>
      </c>
      <c r="J54" s="70"/>
      <c r="K54" s="69">
        <v>2.3001</v>
      </c>
      <c r="L54" s="63"/>
    </row>
    <row r="55" spans="2:12" ht="16.5">
      <c r="B55" s="373"/>
      <c r="C55" s="353" t="s">
        <v>193</v>
      </c>
      <c r="D55" s="295" t="s">
        <v>187</v>
      </c>
      <c r="E55" s="282" t="s">
        <v>0</v>
      </c>
      <c r="F55" s="179">
        <v>1.353</v>
      </c>
      <c r="G55" s="85">
        <v>102.8681</v>
      </c>
      <c r="H55" s="86">
        <v>102.84738041002277</v>
      </c>
      <c r="I55" s="62">
        <v>-0.020719589977233</v>
      </c>
      <c r="J55" s="70"/>
      <c r="K55" s="69">
        <v>0.902</v>
      </c>
      <c r="L55" s="63"/>
    </row>
    <row r="56" spans="2:12" ht="16.5">
      <c r="B56" s="373"/>
      <c r="C56" s="354"/>
      <c r="D56" s="295" t="s">
        <v>189</v>
      </c>
      <c r="E56" s="282" t="s">
        <v>0</v>
      </c>
      <c r="F56" s="182">
        <v>2.03</v>
      </c>
      <c r="G56" s="89">
        <v>102.8681</v>
      </c>
      <c r="H56" s="90">
        <v>102.8473804100228</v>
      </c>
      <c r="I56" s="62">
        <v>-0.020719589977204578</v>
      </c>
      <c r="J56" s="70"/>
      <c r="K56" s="69">
        <v>1.353</v>
      </c>
      <c r="L56" s="63"/>
    </row>
    <row r="57" spans="2:12" ht="17.25" thickBot="1">
      <c r="B57" s="374"/>
      <c r="C57" s="386"/>
      <c r="D57" s="298" t="s">
        <v>191</v>
      </c>
      <c r="E57" s="299" t="s">
        <v>0</v>
      </c>
      <c r="F57" s="183">
        <v>4.059</v>
      </c>
      <c r="G57" s="91">
        <v>102.83013492786637</v>
      </c>
      <c r="H57" s="92">
        <v>102.8473804100228</v>
      </c>
      <c r="I57" s="62">
        <v>0.01724548215642585</v>
      </c>
      <c r="J57" s="70"/>
      <c r="K57" s="69">
        <v>2.706</v>
      </c>
      <c r="L57" s="63"/>
    </row>
    <row r="58" spans="2:12" ht="14.25" customHeight="1">
      <c r="B58" s="372" t="s">
        <v>44</v>
      </c>
      <c r="C58" s="286" t="str">
        <f>+C37</f>
        <v>„трошак јавног снабдевача"</v>
      </c>
      <c r="D58" s="287"/>
      <c r="E58" s="288"/>
      <c r="F58" s="168">
        <v>121.29</v>
      </c>
      <c r="G58" s="60">
        <v>102.8681</v>
      </c>
      <c r="H58" s="61">
        <v>102.86709228090541</v>
      </c>
      <c r="I58" s="62">
        <v>-0.0010077190945878556</v>
      </c>
      <c r="J58" s="70"/>
      <c r="K58" s="69" t="s">
        <v>13</v>
      </c>
      <c r="L58" s="63"/>
    </row>
    <row r="59" spans="2:12" ht="15" customHeight="1">
      <c r="B59" s="373"/>
      <c r="C59" s="341" t="s">
        <v>194</v>
      </c>
      <c r="D59" s="342"/>
      <c r="E59" s="297" t="s">
        <v>0</v>
      </c>
      <c r="F59" s="181">
        <v>5.647</v>
      </c>
      <c r="G59" s="83">
        <v>102.8681</v>
      </c>
      <c r="H59" s="84">
        <v>102.87548138639279</v>
      </c>
      <c r="I59" s="62">
        <v>0.007381386392793843</v>
      </c>
      <c r="J59" s="70"/>
      <c r="K59" s="69">
        <v>4.003</v>
      </c>
      <c r="L59" s="63"/>
    </row>
    <row r="60" spans="2:12" ht="15" customHeight="1" thickBot="1">
      <c r="B60" s="376"/>
      <c r="C60" s="343" t="s">
        <v>195</v>
      </c>
      <c r="D60" s="344"/>
      <c r="E60" s="300" t="s">
        <v>0</v>
      </c>
      <c r="F60" s="184">
        <v>8.471</v>
      </c>
      <c r="G60" s="93">
        <v>102.8852174255392</v>
      </c>
      <c r="H60" s="94">
        <v>102.88428620335502</v>
      </c>
      <c r="I60" s="62">
        <v>-0.000931222184178182</v>
      </c>
      <c r="J60" s="70"/>
      <c r="K60" s="69">
        <v>6.0045</v>
      </c>
      <c r="L60" s="63"/>
    </row>
    <row r="61" spans="2:12" ht="10.5" customHeight="1" thickTop="1">
      <c r="B61" s="65"/>
      <c r="C61" s="65"/>
      <c r="D61" s="65"/>
      <c r="E61" s="65"/>
      <c r="F61" s="95"/>
      <c r="G61" s="95"/>
      <c r="H61" s="95"/>
      <c r="I61" s="95"/>
      <c r="J61" s="63"/>
      <c r="K61" s="63"/>
      <c r="L61" s="63"/>
    </row>
    <row r="62" spans="2:9" ht="9" customHeight="1">
      <c r="B62" s="48"/>
      <c r="C62" s="48"/>
      <c r="D62" s="48"/>
      <c r="E62" s="48"/>
      <c r="F62" s="48"/>
      <c r="G62" s="48"/>
      <c r="H62" s="48"/>
      <c r="I62" s="48"/>
    </row>
    <row r="63" spans="2:9" ht="15.75" customHeight="1">
      <c r="B63" s="167"/>
      <c r="C63" s="167"/>
      <c r="D63" s="167"/>
      <c r="E63" s="167"/>
      <c r="F63" s="167"/>
      <c r="G63" s="167"/>
      <c r="H63" s="167"/>
      <c r="I63" s="48"/>
    </row>
    <row r="64" spans="2:9" ht="15.75" customHeight="1">
      <c r="B64" s="167"/>
      <c r="C64" s="167"/>
      <c r="D64" s="167"/>
      <c r="E64" s="167"/>
      <c r="F64" s="167"/>
      <c r="G64" s="167"/>
      <c r="H64" s="167"/>
      <c r="I64" s="48"/>
    </row>
    <row r="65" spans="2:9" ht="12" customHeight="1">
      <c r="B65" s="167"/>
      <c r="C65" s="167"/>
      <c r="D65" s="167"/>
      <c r="E65" s="167"/>
      <c r="F65" s="167"/>
      <c r="G65" s="167"/>
      <c r="H65" s="167"/>
      <c r="I65" s="48"/>
    </row>
    <row r="66" spans="2:9" ht="12" customHeight="1">
      <c r="B66" s="167"/>
      <c r="C66" s="167"/>
      <c r="D66" s="167"/>
      <c r="E66" s="167"/>
      <c r="F66" s="167"/>
      <c r="G66" s="167"/>
      <c r="H66" s="167"/>
      <c r="I66" s="48"/>
    </row>
    <row r="67" spans="2:8" ht="16.5" customHeight="1">
      <c r="B67" s="167"/>
      <c r="C67" s="167"/>
      <c r="D67" s="167"/>
      <c r="E67" s="167"/>
      <c r="F67" s="167"/>
      <c r="G67" s="167"/>
      <c r="H67" s="167"/>
    </row>
    <row r="68" spans="2:9" ht="16.5" customHeight="1">
      <c r="B68" s="167"/>
      <c r="C68" s="167"/>
      <c r="D68" s="167"/>
      <c r="E68" s="167"/>
      <c r="F68" s="167"/>
      <c r="G68" s="167"/>
      <c r="H68" s="167"/>
      <c r="I68" s="48"/>
    </row>
    <row r="69" spans="2:9" ht="15" customHeight="1">
      <c r="B69" s="167"/>
      <c r="C69" s="167"/>
      <c r="D69" s="167"/>
      <c r="E69" s="356"/>
      <c r="F69" s="356"/>
      <c r="G69" s="356"/>
      <c r="H69" s="356"/>
      <c r="I69" s="48"/>
    </row>
    <row r="70" spans="2:8" ht="16.5" customHeight="1">
      <c r="B70" s="167"/>
      <c r="C70" s="167"/>
      <c r="D70" s="167"/>
      <c r="E70" s="167"/>
      <c r="F70" s="167"/>
      <c r="G70" s="167"/>
      <c r="H70" s="167"/>
    </row>
    <row r="71" spans="2:9" ht="15">
      <c r="B71" s="167"/>
      <c r="C71" s="167"/>
      <c r="D71" s="167"/>
      <c r="E71" s="356"/>
      <c r="F71" s="356"/>
      <c r="G71" s="356"/>
      <c r="H71" s="356"/>
      <c r="I71" s="48"/>
    </row>
    <row r="72" spans="2:9" ht="15">
      <c r="B72" s="167"/>
      <c r="C72" s="167"/>
      <c r="D72" s="167"/>
      <c r="E72" s="356"/>
      <c r="F72" s="356"/>
      <c r="G72" s="356"/>
      <c r="H72" s="356"/>
      <c r="I72" s="44"/>
    </row>
    <row r="73" spans="6:9" ht="14.25">
      <c r="F73" s="44"/>
      <c r="G73" s="44"/>
      <c r="H73" s="44"/>
      <c r="I73" s="44"/>
    </row>
    <row r="74" spans="6:9" ht="14.25">
      <c r="F74" s="44"/>
      <c r="G74" s="44"/>
      <c r="H74" s="44"/>
      <c r="I74" s="44"/>
    </row>
    <row r="75" spans="6:9" ht="14.25">
      <c r="F75" s="44"/>
      <c r="G75" s="44"/>
      <c r="H75" s="44"/>
      <c r="I75" s="44"/>
    </row>
    <row r="76" spans="6:9" ht="14.25">
      <c r="F76" s="44"/>
      <c r="G76" s="44"/>
      <c r="H76" s="44"/>
      <c r="I76" s="44"/>
    </row>
  </sheetData>
  <sheetProtection selectLockedCells="1"/>
  <mergeCells count="45">
    <mergeCell ref="B58:B60"/>
    <mergeCell ref="B37:B57"/>
    <mergeCell ref="C43:C48"/>
    <mergeCell ref="C49:C54"/>
    <mergeCell ref="C55:C57"/>
    <mergeCell ref="B23:B29"/>
    <mergeCell ref="B30:B36"/>
    <mergeCell ref="C29:D29"/>
    <mergeCell ref="C30:D30"/>
    <mergeCell ref="C31:D31"/>
    <mergeCell ref="C32:D32"/>
    <mergeCell ref="B8:I8"/>
    <mergeCell ref="E13:E15"/>
    <mergeCell ref="C16:D16"/>
    <mergeCell ref="B16:B22"/>
    <mergeCell ref="B13:B15"/>
    <mergeCell ref="C13:D15"/>
    <mergeCell ref="B2:H2"/>
    <mergeCell ref="B4:H4"/>
    <mergeCell ref="B5:I6"/>
    <mergeCell ref="B7:I7"/>
    <mergeCell ref="E69:H69"/>
    <mergeCell ref="E71:H71"/>
    <mergeCell ref="C25:D25"/>
    <mergeCell ref="C26:D26"/>
    <mergeCell ref="C27:D27"/>
    <mergeCell ref="C28:D28"/>
    <mergeCell ref="E72:H72"/>
    <mergeCell ref="G13:H13"/>
    <mergeCell ref="C17:D17"/>
    <mergeCell ref="C18:D18"/>
    <mergeCell ref="C19:D19"/>
    <mergeCell ref="C20:D20"/>
    <mergeCell ref="C21:D21"/>
    <mergeCell ref="C22:D22"/>
    <mergeCell ref="C23:D23"/>
    <mergeCell ref="C24:D24"/>
    <mergeCell ref="C59:D59"/>
    <mergeCell ref="C60:D60"/>
    <mergeCell ref="C33:D33"/>
    <mergeCell ref="C34:D34"/>
    <mergeCell ref="C35:D35"/>
    <mergeCell ref="C36:D36"/>
    <mergeCell ref="C38:D38"/>
    <mergeCell ref="C40:C42"/>
  </mergeCells>
  <printOptions horizontalCentered="1"/>
  <pageMargins left="0.5" right="0.5" top="0.5" bottom="0.5" header="0.25" footer="0.25"/>
  <pageSetup fitToHeight="1" fitToWidth="1" horizontalDpi="600" verticalDpi="600" orientation="portrait" paperSize="9" scale="61" r:id="rId1"/>
  <headerFooter alignWithMargins="0">
    <oddFooter>&amp;L&amp;D&amp;RАЕРС - Агенција за енергетику Републике Србије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3:N29"/>
  <sheetViews>
    <sheetView showGridLines="0" zoomScalePageLayoutView="0" workbookViewId="0" topLeftCell="A10">
      <selection activeCell="F35" sqref="F35:F36"/>
    </sheetView>
  </sheetViews>
  <sheetFormatPr defaultColWidth="9.140625" defaultRowHeight="12.75"/>
  <cols>
    <col min="1" max="1" width="9.140625" style="250" customWidth="1"/>
    <col min="2" max="2" width="26.421875" style="250" customWidth="1"/>
    <col min="3" max="3" width="46.57421875" style="250" customWidth="1"/>
    <col min="4" max="4" width="15.7109375" style="250" customWidth="1"/>
    <col min="5" max="5" width="27.57421875" style="250" customWidth="1"/>
    <col min="6" max="16384" width="9.140625" style="250" customWidth="1"/>
  </cols>
  <sheetData>
    <row r="3" spans="1:10" ht="32.25" customHeight="1">
      <c r="A3" s="249"/>
      <c r="B3" s="393"/>
      <c r="C3" s="393"/>
      <c r="D3" s="393"/>
      <c r="E3" s="393"/>
      <c r="F3" s="249"/>
      <c r="G3" s="249"/>
      <c r="H3" s="249"/>
      <c r="I3" s="249"/>
      <c r="J3" s="249"/>
    </row>
    <row r="5" spans="2:14" ht="15">
      <c r="B5" s="395" t="s">
        <v>166</v>
      </c>
      <c r="C5" s="395"/>
      <c r="D5" s="395"/>
      <c r="E5" s="395"/>
      <c r="F5" s="251"/>
      <c r="G5" s="251"/>
      <c r="H5" s="251"/>
      <c r="I5" s="251"/>
      <c r="J5" s="251"/>
      <c r="K5" s="251"/>
      <c r="L5" s="251"/>
      <c r="M5" s="251"/>
      <c r="N5" s="251"/>
    </row>
    <row r="7" spans="1:10" ht="15">
      <c r="A7" s="251"/>
      <c r="B7" s="395" t="s">
        <v>131</v>
      </c>
      <c r="C7" s="395"/>
      <c r="D7" s="395"/>
      <c r="E7" s="395"/>
      <c r="F7" s="251"/>
      <c r="G7" s="251"/>
      <c r="H7" s="251"/>
      <c r="I7" s="251"/>
      <c r="J7" s="251"/>
    </row>
    <row r="10" spans="1:10" ht="14.25">
      <c r="A10" s="249"/>
      <c r="B10" s="393"/>
      <c r="C10" s="393"/>
      <c r="D10" s="393"/>
      <c r="E10" s="393"/>
      <c r="F10" s="249"/>
      <c r="G10" s="249"/>
      <c r="H10" s="249"/>
      <c r="I10" s="249"/>
      <c r="J10" s="249"/>
    </row>
    <row r="12" spans="1:10" ht="72" customHeight="1">
      <c r="A12" s="249"/>
      <c r="B12" s="394"/>
      <c r="C12" s="394"/>
      <c r="D12" s="394"/>
      <c r="E12" s="394"/>
      <c r="F12" s="249"/>
      <c r="G12" s="249"/>
      <c r="H12" s="249"/>
      <c r="I12" s="249"/>
      <c r="J12" s="249"/>
    </row>
    <row r="13" ht="15" thickBot="1"/>
    <row r="14" spans="2:5" ht="19.5" customHeight="1" thickTop="1">
      <c r="B14" s="252" t="s">
        <v>132</v>
      </c>
      <c r="C14" s="253" t="s">
        <v>168</v>
      </c>
      <c r="D14" s="253" t="s">
        <v>34</v>
      </c>
      <c r="E14" s="254" t="s">
        <v>133</v>
      </c>
    </row>
    <row r="15" spans="2:5" ht="14.25">
      <c r="B15" s="390" t="s">
        <v>206</v>
      </c>
      <c r="C15" s="255" t="s">
        <v>204</v>
      </c>
      <c r="D15" s="256" t="s">
        <v>5</v>
      </c>
      <c r="E15" s="257">
        <v>37.5638</v>
      </c>
    </row>
    <row r="16" spans="2:5" ht="14.25">
      <c r="B16" s="390"/>
      <c r="C16" s="255" t="s">
        <v>205</v>
      </c>
      <c r="D16" s="256" t="s">
        <v>5</v>
      </c>
      <c r="E16" s="257">
        <v>150.2554</v>
      </c>
    </row>
    <row r="17" spans="2:5" ht="14.25">
      <c r="B17" s="390" t="s">
        <v>134</v>
      </c>
      <c r="C17" s="255" t="s">
        <v>207</v>
      </c>
      <c r="D17" s="256" t="s">
        <v>0</v>
      </c>
      <c r="E17" s="257">
        <v>0.3303</v>
      </c>
    </row>
    <row r="18" spans="2:5" ht="14.25">
      <c r="B18" s="390"/>
      <c r="C18" s="255" t="s">
        <v>208</v>
      </c>
      <c r="D18" s="256" t="s">
        <v>0</v>
      </c>
      <c r="E18" s="257">
        <v>0.1651</v>
      </c>
    </row>
    <row r="19" spans="2:5" ht="14.25">
      <c r="B19" s="390" t="s">
        <v>135</v>
      </c>
      <c r="C19" s="255" t="s">
        <v>136</v>
      </c>
      <c r="D19" s="256" t="s">
        <v>42</v>
      </c>
      <c r="E19" s="257">
        <v>0.1399</v>
      </c>
    </row>
    <row r="20" spans="2:5" ht="15" thickBot="1">
      <c r="B20" s="391"/>
      <c r="C20" s="258" t="s">
        <v>209</v>
      </c>
      <c r="D20" s="259" t="s">
        <v>42</v>
      </c>
      <c r="E20" s="260">
        <v>0.2798</v>
      </c>
    </row>
    <row r="21" ht="15" thickTop="1"/>
    <row r="23" spans="2:14" ht="29.25" customHeight="1">
      <c r="B23" s="393"/>
      <c r="C23" s="393"/>
      <c r="D23" s="393"/>
      <c r="E23" s="393"/>
      <c r="F23" s="249"/>
      <c r="G23" s="249"/>
      <c r="H23" s="249"/>
      <c r="I23" s="249"/>
      <c r="J23" s="249"/>
      <c r="K23" s="249"/>
      <c r="L23" s="249"/>
      <c r="M23" s="249"/>
      <c r="N23" s="249"/>
    </row>
    <row r="26" spans="4:5" ht="14.25">
      <c r="D26" s="392"/>
      <c r="E26" s="392"/>
    </row>
    <row r="28" spans="4:5" ht="14.25">
      <c r="D28" s="392"/>
      <c r="E28" s="392"/>
    </row>
    <row r="29" spans="1:10" ht="15">
      <c r="A29" s="261"/>
      <c r="B29" s="261"/>
      <c r="C29" s="261"/>
      <c r="D29" s="261"/>
      <c r="E29" s="261"/>
      <c r="F29" s="261"/>
      <c r="G29" s="261"/>
      <c r="H29" s="261"/>
      <c r="I29" s="261"/>
      <c r="J29" s="261"/>
    </row>
  </sheetData>
  <sheetProtection/>
  <mergeCells count="11">
    <mergeCell ref="B3:E3"/>
    <mergeCell ref="B10:E10"/>
    <mergeCell ref="B12:E12"/>
    <mergeCell ref="B7:E7"/>
    <mergeCell ref="B5:E5"/>
    <mergeCell ref="B17:B18"/>
    <mergeCell ref="B19:B20"/>
    <mergeCell ref="D26:E26"/>
    <mergeCell ref="D28:E28"/>
    <mergeCell ref="B23:E23"/>
    <mergeCell ref="B15:B16"/>
  </mergeCells>
  <printOptions horizontalCentered="1" verticalCentered="1"/>
  <pageMargins left="0.5" right="0.5" top="0.5" bottom="0.5" header="0.25" footer="0.2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1:I58"/>
  <sheetViews>
    <sheetView showGridLines="0" zoomScalePageLayoutView="0" workbookViewId="0" topLeftCell="A14">
      <selection activeCell="F35" sqref="F35:F36"/>
    </sheetView>
  </sheetViews>
  <sheetFormatPr defaultColWidth="8.8515625" defaultRowHeight="12.75"/>
  <cols>
    <col min="1" max="1" width="9.140625" style="185" customWidth="1"/>
    <col min="2" max="2" width="29.57421875" style="185" customWidth="1"/>
    <col min="3" max="3" width="21.140625" style="185" customWidth="1"/>
    <col min="4" max="4" width="28.28125" style="185" customWidth="1"/>
    <col min="5" max="5" width="12.28125" style="185" customWidth="1"/>
    <col min="6" max="6" width="21.7109375" style="185" customWidth="1"/>
    <col min="7" max="16384" width="8.8515625" style="185" customWidth="1"/>
  </cols>
  <sheetData>
    <row r="1" ht="14.25">
      <c r="F1" s="186"/>
    </row>
    <row r="4" spans="2:6" ht="76.5" customHeight="1">
      <c r="B4" s="441"/>
      <c r="C4" s="441"/>
      <c r="D4" s="441"/>
      <c r="E4" s="441"/>
      <c r="F4" s="441"/>
    </row>
    <row r="5" spans="2:6" ht="15">
      <c r="B5" s="187"/>
      <c r="C5" s="187"/>
      <c r="D5" s="187"/>
      <c r="E5" s="187"/>
      <c r="F5" s="187"/>
    </row>
    <row r="6" spans="2:6" ht="15">
      <c r="B6" s="406"/>
      <c r="C6" s="406"/>
      <c r="D6" s="406"/>
      <c r="E6" s="406"/>
      <c r="F6" s="406"/>
    </row>
    <row r="7" spans="2:6" ht="15" customHeight="1">
      <c r="B7" s="442" t="s">
        <v>210</v>
      </c>
      <c r="C7" s="442"/>
      <c r="D7" s="442"/>
      <c r="E7" s="442"/>
      <c r="F7" s="442"/>
    </row>
    <row r="8" spans="2:6" ht="12.75" customHeight="1">
      <c r="B8" s="442"/>
      <c r="C8" s="442"/>
      <c r="D8" s="442"/>
      <c r="E8" s="442"/>
      <c r="F8" s="442"/>
    </row>
    <row r="9" spans="2:6" ht="15.75">
      <c r="B9" s="430" t="s">
        <v>211</v>
      </c>
      <c r="C9" s="430"/>
      <c r="D9" s="430"/>
      <c r="E9" s="430"/>
      <c r="F9" s="430"/>
    </row>
    <row r="10" spans="2:6" ht="15.75">
      <c r="B10" s="430"/>
      <c r="C10" s="430"/>
      <c r="D10" s="430"/>
      <c r="E10" s="430"/>
      <c r="F10" s="430"/>
    </row>
    <row r="11" spans="2:9" ht="15">
      <c r="B11" s="187"/>
      <c r="C11" s="187"/>
      <c r="D11" s="187"/>
      <c r="E11" s="187"/>
      <c r="F11" s="187"/>
      <c r="I11" s="188"/>
    </row>
    <row r="12" spans="2:6" ht="15">
      <c r="B12" s="187"/>
      <c r="C12" s="187"/>
      <c r="D12" s="187"/>
      <c r="E12" s="187"/>
      <c r="F12" s="187"/>
    </row>
    <row r="13" spans="2:6" ht="15">
      <c r="B13" s="187"/>
      <c r="C13" s="187"/>
      <c r="D13" s="187"/>
      <c r="E13" s="187"/>
      <c r="F13" s="187"/>
    </row>
    <row r="14" spans="2:6" ht="15.75" thickBot="1">
      <c r="B14" s="187"/>
      <c r="C14" s="187"/>
      <c r="D14" s="187"/>
      <c r="E14" s="187"/>
      <c r="F14" s="187"/>
    </row>
    <row r="15" spans="2:6" ht="15" customHeight="1" thickTop="1">
      <c r="B15" s="443" t="s">
        <v>196</v>
      </c>
      <c r="C15" s="445" t="s">
        <v>168</v>
      </c>
      <c r="D15" s="446"/>
      <c r="E15" s="433" t="s">
        <v>34</v>
      </c>
      <c r="F15" s="189" t="s">
        <v>35</v>
      </c>
    </row>
    <row r="16" spans="2:6" ht="14.25">
      <c r="B16" s="436"/>
      <c r="C16" s="447"/>
      <c r="D16" s="434"/>
      <c r="E16" s="434"/>
      <c r="F16" s="190" t="s">
        <v>37</v>
      </c>
    </row>
    <row r="17" spans="2:6" ht="15" thickBot="1">
      <c r="B17" s="444"/>
      <c r="C17" s="448"/>
      <c r="D17" s="435"/>
      <c r="E17" s="435"/>
      <c r="F17" s="191" t="s">
        <v>40</v>
      </c>
    </row>
    <row r="18" spans="2:6" ht="18" thickBot="1" thickTop="1">
      <c r="B18" s="301">
        <v>1</v>
      </c>
      <c r="C18" s="402">
        <v>2</v>
      </c>
      <c r="D18" s="403"/>
      <c r="E18" s="302">
        <v>3</v>
      </c>
      <c r="F18" s="192">
        <v>4</v>
      </c>
    </row>
    <row r="19" spans="2:6" ht="18.75" customHeight="1" thickTop="1">
      <c r="B19" s="407" t="s">
        <v>197</v>
      </c>
      <c r="C19" s="404" t="s">
        <v>198</v>
      </c>
      <c r="D19" s="405"/>
      <c r="E19" s="303" t="s">
        <v>5</v>
      </c>
      <c r="F19" s="194">
        <v>77.153</v>
      </c>
    </row>
    <row r="20" spans="2:6" ht="18.75" customHeight="1">
      <c r="B20" s="436"/>
      <c r="C20" s="349" t="s">
        <v>174</v>
      </c>
      <c r="D20" s="350"/>
      <c r="E20" s="303" t="s">
        <v>5</v>
      </c>
      <c r="F20" s="195">
        <v>308.611</v>
      </c>
    </row>
    <row r="21" spans="2:6" ht="18.75" customHeight="1">
      <c r="B21" s="436"/>
      <c r="C21" s="345" t="s">
        <v>175</v>
      </c>
      <c r="D21" s="346"/>
      <c r="E21" s="304" t="s">
        <v>0</v>
      </c>
      <c r="F21" s="196">
        <v>0.876</v>
      </c>
    </row>
    <row r="22" spans="2:6" ht="18.75" customHeight="1">
      <c r="B22" s="436"/>
      <c r="C22" s="347" t="s">
        <v>176</v>
      </c>
      <c r="D22" s="348"/>
      <c r="E22" s="305" t="s">
        <v>0</v>
      </c>
      <c r="F22" s="197">
        <v>0.292</v>
      </c>
    </row>
    <row r="23" spans="2:6" ht="18.75" customHeight="1">
      <c r="B23" s="436"/>
      <c r="C23" s="349" t="s">
        <v>177</v>
      </c>
      <c r="D23" s="350"/>
      <c r="E23" s="306" t="s">
        <v>42</v>
      </c>
      <c r="F23" s="198">
        <v>0.352</v>
      </c>
    </row>
    <row r="24" spans="2:6" ht="18.75" customHeight="1" thickBot="1">
      <c r="B24" s="436"/>
      <c r="C24" s="351" t="s">
        <v>178</v>
      </c>
      <c r="D24" s="352"/>
      <c r="E24" s="307" t="s">
        <v>42</v>
      </c>
      <c r="F24" s="199">
        <v>0.704</v>
      </c>
    </row>
    <row r="25" spans="2:6" ht="18.75" customHeight="1">
      <c r="B25" s="407" t="s">
        <v>199</v>
      </c>
      <c r="C25" s="437" t="s">
        <v>198</v>
      </c>
      <c r="D25" s="438"/>
      <c r="E25" s="303" t="s">
        <v>5</v>
      </c>
      <c r="F25" s="194">
        <v>123.444</v>
      </c>
    </row>
    <row r="26" spans="2:6" ht="18.75" customHeight="1">
      <c r="B26" s="436"/>
      <c r="C26" s="349" t="s">
        <v>174</v>
      </c>
      <c r="D26" s="350"/>
      <c r="E26" s="303" t="s">
        <v>5</v>
      </c>
      <c r="F26" s="195">
        <v>493.778</v>
      </c>
    </row>
    <row r="27" spans="2:6" ht="18.75" customHeight="1">
      <c r="B27" s="436"/>
      <c r="C27" s="345" t="s">
        <v>175</v>
      </c>
      <c r="D27" s="346"/>
      <c r="E27" s="304" t="s">
        <v>0</v>
      </c>
      <c r="F27" s="196">
        <v>2.014</v>
      </c>
    </row>
    <row r="28" spans="2:6" ht="18.75" customHeight="1">
      <c r="B28" s="436"/>
      <c r="C28" s="347" t="s">
        <v>176</v>
      </c>
      <c r="D28" s="348"/>
      <c r="E28" s="305" t="s">
        <v>0</v>
      </c>
      <c r="F28" s="197">
        <v>0.671</v>
      </c>
    </row>
    <row r="29" spans="2:6" ht="18.75" customHeight="1">
      <c r="B29" s="436"/>
      <c r="C29" s="278" t="s">
        <v>177</v>
      </c>
      <c r="D29" s="279"/>
      <c r="E29" s="306" t="s">
        <v>42</v>
      </c>
      <c r="F29" s="198">
        <v>0.986</v>
      </c>
    </row>
    <row r="30" spans="2:6" ht="18.75" customHeight="1" thickBot="1">
      <c r="B30" s="436"/>
      <c r="C30" s="351" t="s">
        <v>178</v>
      </c>
      <c r="D30" s="352"/>
      <c r="E30" s="307" t="s">
        <v>42</v>
      </c>
      <c r="F30" s="199">
        <v>1.971</v>
      </c>
    </row>
    <row r="31" spans="2:6" ht="14.25" customHeight="1">
      <c r="B31" s="407" t="s">
        <v>106</v>
      </c>
      <c r="C31" s="308" t="s">
        <v>198</v>
      </c>
      <c r="D31" s="309"/>
      <c r="E31" s="310" t="s">
        <v>5</v>
      </c>
      <c r="F31" s="200">
        <v>38.576</v>
      </c>
    </row>
    <row r="32" spans="2:6" ht="14.25" customHeight="1">
      <c r="B32" s="436"/>
      <c r="C32" s="428" t="s">
        <v>20</v>
      </c>
      <c r="D32" s="429"/>
      <c r="E32" s="429"/>
      <c r="F32" s="201"/>
    </row>
    <row r="33" spans="2:6" ht="14.25" customHeight="1">
      <c r="B33" s="436"/>
      <c r="C33" s="396" t="s">
        <v>181</v>
      </c>
      <c r="D33" s="398" t="s">
        <v>200</v>
      </c>
      <c r="E33" s="439" t="s">
        <v>0</v>
      </c>
      <c r="F33" s="400">
        <v>2.234</v>
      </c>
    </row>
    <row r="34" spans="2:6" ht="14.25" customHeight="1">
      <c r="B34" s="436"/>
      <c r="C34" s="397"/>
      <c r="D34" s="399"/>
      <c r="E34" s="440"/>
      <c r="F34" s="401">
        <v>0</v>
      </c>
    </row>
    <row r="35" spans="2:6" ht="14.25" customHeight="1">
      <c r="B35" s="436"/>
      <c r="C35" s="417" t="s">
        <v>185</v>
      </c>
      <c r="D35" s="420" t="s">
        <v>175</v>
      </c>
      <c r="E35" s="422" t="s">
        <v>0</v>
      </c>
      <c r="F35" s="400">
        <v>2.553</v>
      </c>
    </row>
    <row r="36" spans="2:6" ht="14.25" customHeight="1">
      <c r="B36" s="436"/>
      <c r="C36" s="418"/>
      <c r="D36" s="421"/>
      <c r="E36" s="423"/>
      <c r="F36" s="401">
        <v>0</v>
      </c>
    </row>
    <row r="37" spans="2:6" ht="14.25" customHeight="1">
      <c r="B37" s="436"/>
      <c r="C37" s="418"/>
      <c r="D37" s="421" t="s">
        <v>201</v>
      </c>
      <c r="E37" s="423" t="s">
        <v>0</v>
      </c>
      <c r="F37" s="400">
        <v>0.638</v>
      </c>
    </row>
    <row r="38" spans="2:6" ht="14.25" customHeight="1">
      <c r="B38" s="436"/>
      <c r="C38" s="419"/>
      <c r="D38" s="424"/>
      <c r="E38" s="427"/>
      <c r="F38" s="401">
        <v>0</v>
      </c>
    </row>
    <row r="39" spans="2:6" ht="14.25" customHeight="1">
      <c r="B39" s="436"/>
      <c r="C39" s="417" t="s">
        <v>192</v>
      </c>
      <c r="D39" s="420" t="s">
        <v>202</v>
      </c>
      <c r="E39" s="422" t="s">
        <v>0</v>
      </c>
      <c r="F39" s="400">
        <v>2.17</v>
      </c>
    </row>
    <row r="40" spans="2:6" ht="14.25" customHeight="1">
      <c r="B40" s="436"/>
      <c r="C40" s="418"/>
      <c r="D40" s="421"/>
      <c r="E40" s="423"/>
      <c r="F40" s="401">
        <v>0</v>
      </c>
    </row>
    <row r="41" spans="2:6" ht="14.25" customHeight="1">
      <c r="B41" s="436"/>
      <c r="C41" s="418"/>
      <c r="D41" s="421" t="s">
        <v>201</v>
      </c>
      <c r="E41" s="423" t="s">
        <v>0</v>
      </c>
      <c r="F41" s="400">
        <v>0.543</v>
      </c>
    </row>
    <row r="42" spans="2:6" ht="15" customHeight="1" thickBot="1">
      <c r="B42" s="436"/>
      <c r="C42" s="419"/>
      <c r="D42" s="425"/>
      <c r="E42" s="426"/>
      <c r="F42" s="432">
        <v>0</v>
      </c>
    </row>
    <row r="43" spans="2:6" ht="14.25" customHeight="1">
      <c r="B43" s="407" t="s">
        <v>107</v>
      </c>
      <c r="C43" s="409" t="s">
        <v>203</v>
      </c>
      <c r="D43" s="410"/>
      <c r="E43" s="413" t="s">
        <v>0</v>
      </c>
      <c r="F43" s="415">
        <v>2.786</v>
      </c>
    </row>
    <row r="44" spans="2:6" ht="15" customHeight="1" thickBot="1">
      <c r="B44" s="408"/>
      <c r="C44" s="411"/>
      <c r="D44" s="412"/>
      <c r="E44" s="414"/>
      <c r="F44" s="416">
        <v>0</v>
      </c>
    </row>
    <row r="45" spans="2:6" ht="15" customHeight="1" thickTop="1">
      <c r="B45" s="202"/>
      <c r="C45" s="193"/>
      <c r="D45" s="193"/>
      <c r="E45" s="193"/>
      <c r="F45" s="203"/>
    </row>
    <row r="46" spans="2:6" ht="15" customHeight="1">
      <c r="B46" s="204"/>
      <c r="C46" s="193"/>
      <c r="D46" s="193"/>
      <c r="E46" s="193"/>
      <c r="F46" s="203"/>
    </row>
    <row r="47" spans="2:6" ht="15" customHeight="1">
      <c r="B47" s="204"/>
      <c r="C47" s="193"/>
      <c r="D47" s="193"/>
      <c r="E47" s="193"/>
      <c r="F47" s="203"/>
    </row>
    <row r="48" spans="2:6" ht="15.75" customHeight="1">
      <c r="B48" s="167"/>
      <c r="C48" s="187"/>
      <c r="D48" s="187"/>
      <c r="E48" s="187"/>
      <c r="F48" s="187"/>
    </row>
    <row r="49" spans="2:6" ht="12" customHeight="1">
      <c r="B49" s="167"/>
      <c r="C49" s="187"/>
      <c r="D49" s="187"/>
      <c r="E49" s="187"/>
      <c r="F49" s="187"/>
    </row>
    <row r="50" spans="2:6" ht="12" customHeight="1">
      <c r="B50" s="167"/>
      <c r="C50" s="187"/>
      <c r="D50" s="187"/>
      <c r="E50" s="187"/>
      <c r="F50" s="187"/>
    </row>
    <row r="51" spans="2:6" ht="12" customHeight="1">
      <c r="B51" s="167"/>
      <c r="C51" s="187"/>
      <c r="D51" s="187"/>
      <c r="E51" s="187"/>
      <c r="F51" s="187"/>
    </row>
    <row r="52" spans="2:6" ht="12" customHeight="1">
      <c r="B52" s="187"/>
      <c r="C52" s="187"/>
      <c r="D52" s="187"/>
      <c r="E52" s="187"/>
      <c r="F52" s="187"/>
    </row>
    <row r="53" spans="2:6" ht="19.5" customHeight="1">
      <c r="B53" s="187"/>
      <c r="C53" s="187"/>
      <c r="D53" s="187"/>
      <c r="E53" s="406"/>
      <c r="F53" s="406"/>
    </row>
    <row r="54" spans="2:6" ht="16.5" customHeight="1">
      <c r="B54" s="187"/>
      <c r="C54" s="187"/>
      <c r="D54" s="187"/>
      <c r="E54" s="187"/>
      <c r="F54" s="187"/>
    </row>
    <row r="55" spans="2:6" ht="16.5" customHeight="1">
      <c r="B55" s="187"/>
      <c r="C55" s="187"/>
      <c r="D55" s="187"/>
      <c r="E55" s="431"/>
      <c r="F55" s="431"/>
    </row>
    <row r="56" spans="2:6" ht="15" customHeight="1">
      <c r="B56" s="187"/>
      <c r="C56" s="187"/>
      <c r="D56" s="187"/>
      <c r="E56" s="406"/>
      <c r="F56" s="406"/>
    </row>
    <row r="57" spans="2:6" ht="16.5" customHeight="1">
      <c r="B57" s="187"/>
      <c r="C57" s="187"/>
      <c r="D57" s="187"/>
      <c r="F57" s="187"/>
    </row>
    <row r="58" ht="15">
      <c r="B58" s="187"/>
    </row>
  </sheetData>
  <sheetProtection/>
  <mergeCells count="49">
    <mergeCell ref="B4:F4"/>
    <mergeCell ref="B6:F6"/>
    <mergeCell ref="B7:F8"/>
    <mergeCell ref="B15:B17"/>
    <mergeCell ref="C15:D17"/>
    <mergeCell ref="F35:F36"/>
    <mergeCell ref="C25:D25"/>
    <mergeCell ref="C26:D26"/>
    <mergeCell ref="B10:F10"/>
    <mergeCell ref="B25:B30"/>
    <mergeCell ref="B31:B42"/>
    <mergeCell ref="F33:F34"/>
    <mergeCell ref="E33:E34"/>
    <mergeCell ref="C28:D28"/>
    <mergeCell ref="C30:D30"/>
    <mergeCell ref="C32:E32"/>
    <mergeCell ref="B9:F9"/>
    <mergeCell ref="E55:F55"/>
    <mergeCell ref="E56:F56"/>
    <mergeCell ref="F39:F40"/>
    <mergeCell ref="F41:F42"/>
    <mergeCell ref="E15:E17"/>
    <mergeCell ref="B19:B24"/>
    <mergeCell ref="C39:C42"/>
    <mergeCell ref="D39:D40"/>
    <mergeCell ref="E39:E40"/>
    <mergeCell ref="D41:D42"/>
    <mergeCell ref="E41:E42"/>
    <mergeCell ref="E37:E38"/>
    <mergeCell ref="E53:F53"/>
    <mergeCell ref="C24:D24"/>
    <mergeCell ref="B43:B44"/>
    <mergeCell ref="C43:D44"/>
    <mergeCell ref="E43:E44"/>
    <mergeCell ref="F43:F44"/>
    <mergeCell ref="C35:C38"/>
    <mergeCell ref="D35:D36"/>
    <mergeCell ref="E35:E36"/>
    <mergeCell ref="D37:D38"/>
    <mergeCell ref="C33:C34"/>
    <mergeCell ref="D33:D34"/>
    <mergeCell ref="F37:F38"/>
    <mergeCell ref="C18:D18"/>
    <mergeCell ref="C19:D19"/>
    <mergeCell ref="C20:D20"/>
    <mergeCell ref="C21:D21"/>
    <mergeCell ref="C22:D22"/>
    <mergeCell ref="C23:D23"/>
    <mergeCell ref="C27:D27"/>
  </mergeCells>
  <printOptions horizontalCentered="1"/>
  <pageMargins left="0.511811023622047" right="0.511811023622047" top="0.354330708661417" bottom="0.354330708661417" header="0.31496062992126" footer="0.31496062992126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1:F58"/>
  <sheetViews>
    <sheetView showGridLines="0" zoomScalePageLayoutView="0" workbookViewId="0" topLeftCell="A13">
      <selection activeCell="F35" sqref="F35:F36"/>
    </sheetView>
  </sheetViews>
  <sheetFormatPr defaultColWidth="8.8515625" defaultRowHeight="12.75"/>
  <cols>
    <col min="1" max="1" width="9.140625" style="205" customWidth="1"/>
    <col min="2" max="2" width="29.57421875" style="205" customWidth="1"/>
    <col min="3" max="3" width="19.28125" style="205" customWidth="1"/>
    <col min="4" max="4" width="28.28125" style="205" customWidth="1"/>
    <col min="5" max="5" width="12.28125" style="205" customWidth="1"/>
    <col min="6" max="6" width="21.7109375" style="205" customWidth="1"/>
    <col min="7" max="16384" width="8.8515625" style="205" customWidth="1"/>
  </cols>
  <sheetData>
    <row r="1" ht="14.25">
      <c r="F1" s="206"/>
    </row>
    <row r="4" spans="2:6" ht="81.75" customHeight="1">
      <c r="B4" s="441"/>
      <c r="C4" s="441"/>
      <c r="D4" s="441"/>
      <c r="E4" s="441"/>
      <c r="F4" s="441"/>
    </row>
    <row r="5" spans="2:6" ht="15">
      <c r="B5" s="207"/>
      <c r="C5" s="207"/>
      <c r="D5" s="207"/>
      <c r="E5" s="207"/>
      <c r="F5" s="207"/>
    </row>
    <row r="6" spans="2:6" ht="15">
      <c r="B6" s="449"/>
      <c r="C6" s="449"/>
      <c r="D6" s="449"/>
      <c r="E6" s="449"/>
      <c r="F6" s="449"/>
    </row>
    <row r="7" spans="2:6" ht="15" customHeight="1">
      <c r="B7" s="450" t="s">
        <v>210</v>
      </c>
      <c r="C7" s="450"/>
      <c r="D7" s="450"/>
      <c r="E7" s="450"/>
      <c r="F7" s="450"/>
    </row>
    <row r="8" spans="2:6" ht="12.75" customHeight="1">
      <c r="B8" s="450"/>
      <c r="C8" s="450"/>
      <c r="D8" s="450"/>
      <c r="E8" s="450"/>
      <c r="F8" s="450"/>
    </row>
    <row r="9" spans="2:6" ht="15.75">
      <c r="B9" s="451" t="s">
        <v>211</v>
      </c>
      <c r="C9" s="451"/>
      <c r="D9" s="451"/>
      <c r="E9" s="451"/>
      <c r="F9" s="451"/>
    </row>
    <row r="10" spans="2:6" ht="15.75">
      <c r="B10" s="451"/>
      <c r="C10" s="451"/>
      <c r="D10" s="451"/>
      <c r="E10" s="451"/>
      <c r="F10" s="451"/>
    </row>
    <row r="11" spans="2:6" ht="15">
      <c r="B11" s="207"/>
      <c r="C11" s="207"/>
      <c r="D11" s="207"/>
      <c r="E11" s="207"/>
      <c r="F11" s="207"/>
    </row>
    <row r="12" spans="2:6" ht="15">
      <c r="B12" s="187"/>
      <c r="C12" s="207"/>
      <c r="D12" s="207"/>
      <c r="E12" s="207"/>
      <c r="F12" s="207"/>
    </row>
    <row r="13" spans="2:6" ht="31.5" customHeight="1">
      <c r="B13" s="452"/>
      <c r="C13" s="452"/>
      <c r="D13" s="452"/>
      <c r="E13" s="452"/>
      <c r="F13" s="452"/>
    </row>
    <row r="14" spans="2:6" ht="15.75" thickBot="1">
      <c r="B14" s="207"/>
      <c r="C14" s="207"/>
      <c r="D14" s="207"/>
      <c r="E14" s="207"/>
      <c r="F14" s="207"/>
    </row>
    <row r="15" spans="2:6" ht="15" customHeight="1" thickTop="1">
      <c r="B15" s="443" t="s">
        <v>196</v>
      </c>
      <c r="C15" s="445" t="s">
        <v>168</v>
      </c>
      <c r="D15" s="446"/>
      <c r="E15" s="433" t="s">
        <v>34</v>
      </c>
      <c r="F15" s="208" t="s">
        <v>35</v>
      </c>
    </row>
    <row r="16" spans="2:6" ht="14.25">
      <c r="B16" s="436"/>
      <c r="C16" s="447"/>
      <c r="D16" s="434"/>
      <c r="E16" s="434"/>
      <c r="F16" s="209" t="s">
        <v>37</v>
      </c>
    </row>
    <row r="17" spans="2:6" ht="15" thickBot="1">
      <c r="B17" s="444"/>
      <c r="C17" s="448"/>
      <c r="D17" s="435"/>
      <c r="E17" s="435"/>
      <c r="F17" s="210" t="s">
        <v>40</v>
      </c>
    </row>
    <row r="18" spans="2:6" ht="18" thickBot="1" thickTop="1">
      <c r="B18" s="301">
        <v>1</v>
      </c>
      <c r="C18" s="402">
        <v>2</v>
      </c>
      <c r="D18" s="403"/>
      <c r="E18" s="302">
        <v>3</v>
      </c>
      <c r="F18" s="211">
        <v>4</v>
      </c>
    </row>
    <row r="19" spans="2:6" ht="18.75" customHeight="1" thickTop="1">
      <c r="B19" s="407" t="s">
        <v>197</v>
      </c>
      <c r="C19" s="404" t="s">
        <v>198</v>
      </c>
      <c r="D19" s="405"/>
      <c r="E19" s="303" t="s">
        <v>5</v>
      </c>
      <c r="F19" s="194">
        <v>79.144</v>
      </c>
    </row>
    <row r="20" spans="2:6" ht="18.75" customHeight="1">
      <c r="B20" s="436"/>
      <c r="C20" s="349" t="s">
        <v>174</v>
      </c>
      <c r="D20" s="350"/>
      <c r="E20" s="303" t="s">
        <v>5</v>
      </c>
      <c r="F20" s="195">
        <v>316.575</v>
      </c>
    </row>
    <row r="21" spans="2:6" ht="18.75" customHeight="1">
      <c r="B21" s="436"/>
      <c r="C21" s="345" t="s">
        <v>175</v>
      </c>
      <c r="D21" s="346"/>
      <c r="E21" s="304" t="s">
        <v>0</v>
      </c>
      <c r="F21" s="196">
        <v>0.745</v>
      </c>
    </row>
    <row r="22" spans="2:6" ht="18.75" customHeight="1">
      <c r="B22" s="436"/>
      <c r="C22" s="347" t="s">
        <v>176</v>
      </c>
      <c r="D22" s="348"/>
      <c r="E22" s="305" t="s">
        <v>0</v>
      </c>
      <c r="F22" s="197">
        <v>0.248</v>
      </c>
    </row>
    <row r="23" spans="2:6" ht="18.75" customHeight="1">
      <c r="B23" s="436"/>
      <c r="C23" s="349" t="s">
        <v>177</v>
      </c>
      <c r="D23" s="350"/>
      <c r="E23" s="306" t="s">
        <v>42</v>
      </c>
      <c r="F23" s="198">
        <v>0.316</v>
      </c>
    </row>
    <row r="24" spans="2:6" ht="18.75" customHeight="1" thickBot="1">
      <c r="B24" s="436"/>
      <c r="C24" s="351" t="s">
        <v>178</v>
      </c>
      <c r="D24" s="352"/>
      <c r="E24" s="307" t="s">
        <v>42</v>
      </c>
      <c r="F24" s="199">
        <v>0.633</v>
      </c>
    </row>
    <row r="25" spans="2:6" ht="18.75" customHeight="1">
      <c r="B25" s="407" t="s">
        <v>199</v>
      </c>
      <c r="C25" s="437" t="s">
        <v>198</v>
      </c>
      <c r="D25" s="438"/>
      <c r="E25" s="303" t="s">
        <v>5</v>
      </c>
      <c r="F25" s="194">
        <v>126.63</v>
      </c>
    </row>
    <row r="26" spans="2:6" ht="18.75" customHeight="1">
      <c r="B26" s="436"/>
      <c r="C26" s="349" t="s">
        <v>174</v>
      </c>
      <c r="D26" s="350"/>
      <c r="E26" s="303" t="s">
        <v>5</v>
      </c>
      <c r="F26" s="195">
        <v>506.52</v>
      </c>
    </row>
    <row r="27" spans="2:6" ht="18.75" customHeight="1">
      <c r="B27" s="436"/>
      <c r="C27" s="345" t="s">
        <v>175</v>
      </c>
      <c r="D27" s="346"/>
      <c r="E27" s="304" t="s">
        <v>0</v>
      </c>
      <c r="F27" s="196">
        <v>1.714</v>
      </c>
    </row>
    <row r="28" spans="2:6" ht="18.75" customHeight="1">
      <c r="B28" s="436"/>
      <c r="C28" s="347" t="s">
        <v>176</v>
      </c>
      <c r="D28" s="348"/>
      <c r="E28" s="305" t="s">
        <v>0</v>
      </c>
      <c r="F28" s="197">
        <v>0.571</v>
      </c>
    </row>
    <row r="29" spans="2:6" ht="18.75" customHeight="1">
      <c r="B29" s="436"/>
      <c r="C29" s="278" t="s">
        <v>177</v>
      </c>
      <c r="D29" s="279"/>
      <c r="E29" s="306" t="s">
        <v>42</v>
      </c>
      <c r="F29" s="198">
        <v>0.886</v>
      </c>
    </row>
    <row r="30" spans="2:6" ht="18.75" customHeight="1" thickBot="1">
      <c r="B30" s="436"/>
      <c r="C30" s="351" t="s">
        <v>178</v>
      </c>
      <c r="D30" s="352"/>
      <c r="E30" s="307" t="s">
        <v>42</v>
      </c>
      <c r="F30" s="199">
        <v>1.771</v>
      </c>
    </row>
    <row r="31" spans="2:6" ht="14.25" customHeight="1">
      <c r="B31" s="407" t="s">
        <v>106</v>
      </c>
      <c r="C31" s="308" t="s">
        <v>198</v>
      </c>
      <c r="D31" s="309"/>
      <c r="E31" s="310" t="s">
        <v>5</v>
      </c>
      <c r="F31" s="200">
        <v>39.572</v>
      </c>
    </row>
    <row r="32" spans="2:6" ht="16.5">
      <c r="B32" s="436"/>
      <c r="C32" s="428" t="s">
        <v>20</v>
      </c>
      <c r="D32" s="429"/>
      <c r="E32" s="429"/>
      <c r="F32" s="201"/>
    </row>
    <row r="33" spans="2:6" ht="14.25" customHeight="1">
      <c r="B33" s="436"/>
      <c r="C33" s="396" t="s">
        <v>181</v>
      </c>
      <c r="D33" s="398" t="s">
        <v>200</v>
      </c>
      <c r="E33" s="439" t="s">
        <v>0</v>
      </c>
      <c r="F33" s="400">
        <v>2.11</v>
      </c>
    </row>
    <row r="34" spans="2:6" ht="14.25">
      <c r="B34" s="436"/>
      <c r="C34" s="397"/>
      <c r="D34" s="399"/>
      <c r="E34" s="440"/>
      <c r="F34" s="401">
        <v>0</v>
      </c>
    </row>
    <row r="35" spans="2:6" ht="14.25" customHeight="1">
      <c r="B35" s="436"/>
      <c r="C35" s="417" t="s">
        <v>185</v>
      </c>
      <c r="D35" s="420" t="s">
        <v>175</v>
      </c>
      <c r="E35" s="422" t="s">
        <v>0</v>
      </c>
      <c r="F35" s="400">
        <v>2.412</v>
      </c>
    </row>
    <row r="36" spans="2:6" ht="14.25">
      <c r="B36" s="436"/>
      <c r="C36" s="418"/>
      <c r="D36" s="421"/>
      <c r="E36" s="423"/>
      <c r="F36" s="401">
        <v>0</v>
      </c>
    </row>
    <row r="37" spans="2:6" ht="14.25">
      <c r="B37" s="436"/>
      <c r="C37" s="418"/>
      <c r="D37" s="421" t="s">
        <v>201</v>
      </c>
      <c r="E37" s="423" t="s">
        <v>0</v>
      </c>
      <c r="F37" s="400">
        <v>0.603</v>
      </c>
    </row>
    <row r="38" spans="2:6" ht="14.25">
      <c r="B38" s="436"/>
      <c r="C38" s="419"/>
      <c r="D38" s="424"/>
      <c r="E38" s="427"/>
      <c r="F38" s="401">
        <v>0</v>
      </c>
    </row>
    <row r="39" spans="2:6" ht="14.25" customHeight="1">
      <c r="B39" s="436"/>
      <c r="C39" s="417" t="s">
        <v>192</v>
      </c>
      <c r="D39" s="420" t="s">
        <v>202</v>
      </c>
      <c r="E39" s="422" t="s">
        <v>0</v>
      </c>
      <c r="F39" s="400">
        <v>2.05</v>
      </c>
    </row>
    <row r="40" spans="2:6" ht="14.25">
      <c r="B40" s="436"/>
      <c r="C40" s="418"/>
      <c r="D40" s="421"/>
      <c r="E40" s="423"/>
      <c r="F40" s="401">
        <v>0</v>
      </c>
    </row>
    <row r="41" spans="2:6" ht="14.25" customHeight="1">
      <c r="B41" s="436"/>
      <c r="C41" s="418"/>
      <c r="D41" s="421" t="s">
        <v>201</v>
      </c>
      <c r="E41" s="423" t="s">
        <v>0</v>
      </c>
      <c r="F41" s="400">
        <v>0.513</v>
      </c>
    </row>
    <row r="42" spans="2:6" ht="15" thickBot="1">
      <c r="B42" s="436"/>
      <c r="C42" s="419"/>
      <c r="D42" s="425"/>
      <c r="E42" s="426"/>
      <c r="F42" s="432">
        <v>0</v>
      </c>
    </row>
    <row r="43" spans="2:6" ht="14.25" customHeight="1">
      <c r="B43" s="407" t="s">
        <v>107</v>
      </c>
      <c r="C43" s="409" t="s">
        <v>203</v>
      </c>
      <c r="D43" s="410"/>
      <c r="E43" s="413" t="s">
        <v>0</v>
      </c>
      <c r="F43" s="415">
        <v>3.027</v>
      </c>
    </row>
    <row r="44" spans="2:6" ht="15" customHeight="1" thickBot="1">
      <c r="B44" s="408"/>
      <c r="C44" s="411"/>
      <c r="D44" s="412"/>
      <c r="E44" s="414"/>
      <c r="F44" s="416">
        <v>0</v>
      </c>
    </row>
    <row r="45" spans="2:6" ht="15" customHeight="1" thickTop="1">
      <c r="B45" s="213"/>
      <c r="C45" s="212"/>
      <c r="D45" s="212"/>
      <c r="E45" s="212"/>
      <c r="F45" s="214"/>
    </row>
    <row r="46" spans="2:6" ht="15" customHeight="1">
      <c r="B46" s="215"/>
      <c r="C46" s="212"/>
      <c r="D46" s="212"/>
      <c r="E46" s="212"/>
      <c r="F46" s="214"/>
    </row>
    <row r="47" spans="2:6" ht="15" customHeight="1">
      <c r="B47" s="215"/>
      <c r="C47" s="212"/>
      <c r="D47" s="212"/>
      <c r="E47" s="212"/>
      <c r="F47" s="214"/>
    </row>
    <row r="48" spans="2:6" ht="15.75" customHeight="1">
      <c r="B48" s="187"/>
      <c r="C48" s="187"/>
      <c r="D48" s="187"/>
      <c r="E48" s="187"/>
      <c r="F48" s="187"/>
    </row>
    <row r="49" spans="2:6" ht="12" customHeight="1">
      <c r="B49" s="207"/>
      <c r="C49" s="207"/>
      <c r="D49" s="207"/>
      <c r="E49" s="207"/>
      <c r="F49" s="207"/>
    </row>
    <row r="50" spans="2:6" ht="12" customHeight="1">
      <c r="B50" s="167"/>
      <c r="C50" s="207"/>
      <c r="D50" s="207"/>
      <c r="E50" s="207"/>
      <c r="F50" s="207"/>
    </row>
    <row r="51" spans="2:6" ht="12" customHeight="1">
      <c r="B51" s="167"/>
      <c r="C51" s="207"/>
      <c r="D51" s="207"/>
      <c r="E51" s="207"/>
      <c r="F51" s="207"/>
    </row>
    <row r="52" spans="2:6" ht="12" customHeight="1">
      <c r="B52" s="207"/>
      <c r="C52" s="207"/>
      <c r="D52" s="207"/>
      <c r="E52" s="207"/>
      <c r="F52" s="207"/>
    </row>
    <row r="53" spans="2:6" ht="19.5" customHeight="1">
      <c r="B53" s="207"/>
      <c r="C53" s="207"/>
      <c r="D53" s="207"/>
      <c r="E53" s="406"/>
      <c r="F53" s="406"/>
    </row>
    <row r="54" spans="2:6" ht="16.5" customHeight="1">
      <c r="B54" s="207"/>
      <c r="C54" s="207"/>
      <c r="D54" s="207"/>
      <c r="E54" s="187"/>
      <c r="F54" s="187"/>
    </row>
    <row r="55" spans="2:6" ht="16.5" customHeight="1">
      <c r="B55" s="207"/>
      <c r="C55" s="207"/>
      <c r="D55" s="207"/>
      <c r="E55" s="431"/>
      <c r="F55" s="431"/>
    </row>
    <row r="56" spans="2:6" ht="15" customHeight="1">
      <c r="B56" s="207"/>
      <c r="C56" s="207"/>
      <c r="D56" s="207"/>
      <c r="E56" s="449"/>
      <c r="F56" s="449"/>
    </row>
    <row r="57" spans="2:6" ht="16.5" customHeight="1">
      <c r="B57" s="207"/>
      <c r="C57" s="207"/>
      <c r="D57" s="207"/>
      <c r="E57" s="207"/>
      <c r="F57" s="207"/>
    </row>
    <row r="58" ht="15">
      <c r="B58" s="207"/>
    </row>
  </sheetData>
  <sheetProtection/>
  <mergeCells count="51">
    <mergeCell ref="C15:D17"/>
    <mergeCell ref="B9:F9"/>
    <mergeCell ref="B10:F10"/>
    <mergeCell ref="B13:F13"/>
    <mergeCell ref="E15:E17"/>
    <mergeCell ref="E55:F55"/>
    <mergeCell ref="E43:E44"/>
    <mergeCell ref="F43:F44"/>
    <mergeCell ref="C20:D20"/>
    <mergeCell ref="C21:D21"/>
    <mergeCell ref="B4:F4"/>
    <mergeCell ref="B6:F6"/>
    <mergeCell ref="B7:F8"/>
    <mergeCell ref="B19:B24"/>
    <mergeCell ref="B15:B17"/>
    <mergeCell ref="C43:D44"/>
    <mergeCell ref="E53:F53"/>
    <mergeCell ref="F35:F36"/>
    <mergeCell ref="C18:D18"/>
    <mergeCell ref="C19:D19"/>
    <mergeCell ref="C27:D27"/>
    <mergeCell ref="E56:F56"/>
    <mergeCell ref="B31:B42"/>
    <mergeCell ref="E33:E34"/>
    <mergeCell ref="F33:F34"/>
    <mergeCell ref="B25:B30"/>
    <mergeCell ref="F37:F38"/>
    <mergeCell ref="F39:F40"/>
    <mergeCell ref="F41:F42"/>
    <mergeCell ref="B43:B44"/>
    <mergeCell ref="C35:C38"/>
    <mergeCell ref="D35:D36"/>
    <mergeCell ref="E35:E36"/>
    <mergeCell ref="D37:D38"/>
    <mergeCell ref="E37:E38"/>
    <mergeCell ref="C22:D22"/>
    <mergeCell ref="C23:D23"/>
    <mergeCell ref="C24:D24"/>
    <mergeCell ref="C25:D25"/>
    <mergeCell ref="C26:D26"/>
    <mergeCell ref="C39:C42"/>
    <mergeCell ref="D39:D40"/>
    <mergeCell ref="E39:E40"/>
    <mergeCell ref="D41:D42"/>
    <mergeCell ref="E41:E42"/>
    <mergeCell ref="C28:D28"/>
    <mergeCell ref="C30:D30"/>
    <mergeCell ref="C32:E32"/>
    <mergeCell ref="C33:C34"/>
    <mergeCell ref="D33:D34"/>
  </mergeCells>
  <printOptions horizontalCentered="1"/>
  <pageMargins left="0.511811023622047" right="0.511811023622047" top="0.354330708661417" bottom="0.354330708661417" header="0.31496062992126" footer="0.31496062992126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B1:F58"/>
  <sheetViews>
    <sheetView showGridLines="0" zoomScalePageLayoutView="0" workbookViewId="0" topLeftCell="A13">
      <selection activeCell="F35" sqref="F35:F36"/>
    </sheetView>
  </sheetViews>
  <sheetFormatPr defaultColWidth="8.8515625" defaultRowHeight="12.75"/>
  <cols>
    <col min="1" max="1" width="9.140625" style="205" customWidth="1"/>
    <col min="2" max="2" width="29.57421875" style="205" customWidth="1"/>
    <col min="3" max="3" width="19.28125" style="205" customWidth="1"/>
    <col min="4" max="4" width="28.28125" style="205" customWidth="1"/>
    <col min="5" max="5" width="12.28125" style="205" customWidth="1"/>
    <col min="6" max="6" width="21.7109375" style="205" customWidth="1"/>
    <col min="7" max="16384" width="8.8515625" style="205" customWidth="1"/>
  </cols>
  <sheetData>
    <row r="1" ht="14.25">
      <c r="F1" s="206"/>
    </row>
    <row r="4" spans="2:6" ht="81.75" customHeight="1">
      <c r="B4" s="441"/>
      <c r="C4" s="441"/>
      <c r="D4" s="441"/>
      <c r="E4" s="441"/>
      <c r="F4" s="441"/>
    </row>
    <row r="5" spans="2:6" ht="15">
      <c r="B5" s="207"/>
      <c r="C5" s="207"/>
      <c r="D5" s="207"/>
      <c r="E5" s="207"/>
      <c r="F5" s="207"/>
    </row>
    <row r="6" spans="2:6" ht="15">
      <c r="B6" s="449"/>
      <c r="C6" s="449"/>
      <c r="D6" s="449"/>
      <c r="E6" s="449"/>
      <c r="F6" s="449"/>
    </row>
    <row r="7" spans="2:6" ht="15" customHeight="1">
      <c r="B7" s="450" t="s">
        <v>210</v>
      </c>
      <c r="C7" s="450"/>
      <c r="D7" s="450"/>
      <c r="E7" s="450"/>
      <c r="F7" s="450"/>
    </row>
    <row r="8" spans="2:6" ht="12.75" customHeight="1">
      <c r="B8" s="450"/>
      <c r="C8" s="450"/>
      <c r="D8" s="450"/>
      <c r="E8" s="450"/>
      <c r="F8" s="450"/>
    </row>
    <row r="9" spans="2:6" ht="15.75">
      <c r="B9" s="451" t="s">
        <v>211</v>
      </c>
      <c r="C9" s="451"/>
      <c r="D9" s="451"/>
      <c r="E9" s="451"/>
      <c r="F9" s="451"/>
    </row>
    <row r="10" spans="2:6" ht="15.75">
      <c r="B10" s="451"/>
      <c r="C10" s="451"/>
      <c r="D10" s="451"/>
      <c r="E10" s="451"/>
      <c r="F10" s="451"/>
    </row>
    <row r="11" spans="2:6" ht="15">
      <c r="B11" s="207"/>
      <c r="C11" s="207"/>
      <c r="D11" s="207"/>
      <c r="E11" s="207"/>
      <c r="F11" s="207"/>
    </row>
    <row r="12" spans="2:6" ht="15">
      <c r="B12" s="187"/>
      <c r="C12" s="207"/>
      <c r="D12" s="207"/>
      <c r="E12" s="207"/>
      <c r="F12" s="207"/>
    </row>
    <row r="13" spans="2:6" ht="15">
      <c r="B13" s="187"/>
      <c r="C13" s="207"/>
      <c r="D13" s="207"/>
      <c r="E13" s="207"/>
      <c r="F13" s="207"/>
    </row>
    <row r="14" spans="2:6" ht="15.75" thickBot="1">
      <c r="B14" s="207"/>
      <c r="C14" s="207"/>
      <c r="D14" s="207"/>
      <c r="E14" s="207"/>
      <c r="F14" s="207"/>
    </row>
    <row r="15" spans="2:6" ht="15" customHeight="1" thickTop="1">
      <c r="B15" s="443" t="s">
        <v>196</v>
      </c>
      <c r="C15" s="445" t="s">
        <v>168</v>
      </c>
      <c r="D15" s="446"/>
      <c r="E15" s="433" t="s">
        <v>34</v>
      </c>
      <c r="F15" s="208" t="s">
        <v>35</v>
      </c>
    </row>
    <row r="16" spans="2:6" ht="14.25">
      <c r="B16" s="436"/>
      <c r="C16" s="447"/>
      <c r="D16" s="434"/>
      <c r="E16" s="434"/>
      <c r="F16" s="209" t="s">
        <v>37</v>
      </c>
    </row>
    <row r="17" spans="2:6" ht="15" thickBot="1">
      <c r="B17" s="444"/>
      <c r="C17" s="448"/>
      <c r="D17" s="435"/>
      <c r="E17" s="435"/>
      <c r="F17" s="210" t="s">
        <v>40</v>
      </c>
    </row>
    <row r="18" spans="2:6" ht="18" thickBot="1" thickTop="1">
      <c r="B18" s="301">
        <v>1</v>
      </c>
      <c r="C18" s="402">
        <v>2</v>
      </c>
      <c r="D18" s="403"/>
      <c r="E18" s="302">
        <v>3</v>
      </c>
      <c r="F18" s="211">
        <v>4</v>
      </c>
    </row>
    <row r="19" spans="2:6" ht="18.75" customHeight="1" thickTop="1">
      <c r="B19" s="407" t="s">
        <v>197</v>
      </c>
      <c r="C19" s="404" t="s">
        <v>198</v>
      </c>
      <c r="D19" s="405"/>
      <c r="E19" s="303" t="s">
        <v>5</v>
      </c>
      <c r="F19" s="194">
        <v>98.716</v>
      </c>
    </row>
    <row r="20" spans="2:6" ht="18.75" customHeight="1">
      <c r="B20" s="436"/>
      <c r="C20" s="349" t="s">
        <v>174</v>
      </c>
      <c r="D20" s="350"/>
      <c r="E20" s="303" t="s">
        <v>5</v>
      </c>
      <c r="F20" s="195">
        <v>394.866</v>
      </c>
    </row>
    <row r="21" spans="2:6" ht="18.75" customHeight="1">
      <c r="B21" s="436"/>
      <c r="C21" s="345" t="s">
        <v>175</v>
      </c>
      <c r="D21" s="346"/>
      <c r="E21" s="304" t="s">
        <v>0</v>
      </c>
      <c r="F21" s="196">
        <v>1.259</v>
      </c>
    </row>
    <row r="22" spans="2:6" ht="18.75" customHeight="1">
      <c r="B22" s="436"/>
      <c r="C22" s="347" t="s">
        <v>176</v>
      </c>
      <c r="D22" s="348"/>
      <c r="E22" s="305" t="s">
        <v>0</v>
      </c>
      <c r="F22" s="197">
        <v>0.42</v>
      </c>
    </row>
    <row r="23" spans="2:6" ht="18.75" customHeight="1">
      <c r="B23" s="436"/>
      <c r="C23" s="349" t="s">
        <v>177</v>
      </c>
      <c r="D23" s="350"/>
      <c r="E23" s="306" t="s">
        <v>42</v>
      </c>
      <c r="F23" s="198">
        <v>0.522</v>
      </c>
    </row>
    <row r="24" spans="2:6" ht="18.75" customHeight="1" thickBot="1">
      <c r="B24" s="436"/>
      <c r="C24" s="351" t="s">
        <v>178</v>
      </c>
      <c r="D24" s="352"/>
      <c r="E24" s="307" t="s">
        <v>42</v>
      </c>
      <c r="F24" s="199">
        <v>1.044</v>
      </c>
    </row>
    <row r="25" spans="2:6" ht="18.75" customHeight="1">
      <c r="B25" s="407" t="s">
        <v>199</v>
      </c>
      <c r="C25" s="437" t="s">
        <v>198</v>
      </c>
      <c r="D25" s="438"/>
      <c r="E25" s="303" t="s">
        <v>5</v>
      </c>
      <c r="F25" s="194">
        <v>157.946</v>
      </c>
    </row>
    <row r="26" spans="2:6" ht="18.75" customHeight="1">
      <c r="B26" s="436"/>
      <c r="C26" s="349" t="s">
        <v>174</v>
      </c>
      <c r="D26" s="350"/>
      <c r="E26" s="303" t="s">
        <v>5</v>
      </c>
      <c r="F26" s="195">
        <v>631.786</v>
      </c>
    </row>
    <row r="27" spans="2:6" ht="18.75" customHeight="1">
      <c r="B27" s="436"/>
      <c r="C27" s="345" t="s">
        <v>175</v>
      </c>
      <c r="D27" s="346"/>
      <c r="E27" s="304" t="s">
        <v>0</v>
      </c>
      <c r="F27" s="196">
        <v>2.896</v>
      </c>
    </row>
    <row r="28" spans="2:6" ht="18.75" customHeight="1">
      <c r="B28" s="436"/>
      <c r="C28" s="347" t="s">
        <v>176</v>
      </c>
      <c r="D28" s="348"/>
      <c r="E28" s="305" t="s">
        <v>0</v>
      </c>
      <c r="F28" s="197">
        <v>0.965</v>
      </c>
    </row>
    <row r="29" spans="2:6" ht="18.75" customHeight="1">
      <c r="B29" s="436"/>
      <c r="C29" s="278" t="s">
        <v>177</v>
      </c>
      <c r="D29" s="279"/>
      <c r="E29" s="306" t="s">
        <v>42</v>
      </c>
      <c r="F29" s="198">
        <v>1.462</v>
      </c>
    </row>
    <row r="30" spans="2:6" ht="18.75" customHeight="1" thickBot="1">
      <c r="B30" s="436"/>
      <c r="C30" s="351" t="s">
        <v>178</v>
      </c>
      <c r="D30" s="352"/>
      <c r="E30" s="307" t="s">
        <v>42</v>
      </c>
      <c r="F30" s="199">
        <v>2.924</v>
      </c>
    </row>
    <row r="31" spans="2:6" ht="14.25" customHeight="1">
      <c r="B31" s="407" t="s">
        <v>106</v>
      </c>
      <c r="C31" s="308" t="s">
        <v>198</v>
      </c>
      <c r="D31" s="309"/>
      <c r="E31" s="310" t="s">
        <v>5</v>
      </c>
      <c r="F31" s="200">
        <v>49.358</v>
      </c>
    </row>
    <row r="32" spans="2:6" ht="16.5">
      <c r="B32" s="436"/>
      <c r="C32" s="428" t="s">
        <v>20</v>
      </c>
      <c r="D32" s="429"/>
      <c r="E32" s="429"/>
      <c r="F32" s="201"/>
    </row>
    <row r="33" spans="2:6" ht="14.25" customHeight="1">
      <c r="B33" s="436"/>
      <c r="C33" s="396" t="s">
        <v>181</v>
      </c>
      <c r="D33" s="398" t="s">
        <v>200</v>
      </c>
      <c r="E33" s="439" t="s">
        <v>0</v>
      </c>
      <c r="F33" s="400">
        <v>3.152</v>
      </c>
    </row>
    <row r="34" spans="2:6" ht="14.25">
      <c r="B34" s="436"/>
      <c r="C34" s="397"/>
      <c r="D34" s="399"/>
      <c r="E34" s="440"/>
      <c r="F34" s="401">
        <v>0</v>
      </c>
    </row>
    <row r="35" spans="2:6" ht="14.25" customHeight="1">
      <c r="B35" s="436"/>
      <c r="C35" s="417" t="s">
        <v>185</v>
      </c>
      <c r="D35" s="420" t="s">
        <v>175</v>
      </c>
      <c r="E35" s="422" t="s">
        <v>0</v>
      </c>
      <c r="F35" s="400">
        <v>3.602</v>
      </c>
    </row>
    <row r="36" spans="2:6" ht="14.25">
      <c r="B36" s="436"/>
      <c r="C36" s="418"/>
      <c r="D36" s="421"/>
      <c r="E36" s="423"/>
      <c r="F36" s="401">
        <v>0</v>
      </c>
    </row>
    <row r="37" spans="2:6" ht="14.25">
      <c r="B37" s="436"/>
      <c r="C37" s="418"/>
      <c r="D37" s="421" t="s">
        <v>201</v>
      </c>
      <c r="E37" s="423" t="s">
        <v>0</v>
      </c>
      <c r="F37" s="400">
        <v>0.901</v>
      </c>
    </row>
    <row r="38" spans="2:6" ht="14.25">
      <c r="B38" s="436"/>
      <c r="C38" s="419"/>
      <c r="D38" s="424"/>
      <c r="E38" s="427"/>
      <c r="F38" s="401">
        <v>0</v>
      </c>
    </row>
    <row r="39" spans="2:6" ht="14.25" customHeight="1">
      <c r="B39" s="436"/>
      <c r="C39" s="417" t="s">
        <v>192</v>
      </c>
      <c r="D39" s="420" t="s">
        <v>202</v>
      </c>
      <c r="E39" s="422" t="s">
        <v>0</v>
      </c>
      <c r="F39" s="400">
        <v>3.062</v>
      </c>
    </row>
    <row r="40" spans="2:6" ht="14.25">
      <c r="B40" s="436"/>
      <c r="C40" s="418"/>
      <c r="D40" s="421"/>
      <c r="E40" s="423"/>
      <c r="F40" s="401">
        <v>0</v>
      </c>
    </row>
    <row r="41" spans="2:6" ht="14.25" customHeight="1">
      <c r="B41" s="436"/>
      <c r="C41" s="418"/>
      <c r="D41" s="421" t="s">
        <v>201</v>
      </c>
      <c r="E41" s="423" t="s">
        <v>0</v>
      </c>
      <c r="F41" s="400">
        <v>0.766</v>
      </c>
    </row>
    <row r="42" spans="2:6" ht="15" thickBot="1">
      <c r="B42" s="436"/>
      <c r="C42" s="419"/>
      <c r="D42" s="425"/>
      <c r="E42" s="426"/>
      <c r="F42" s="432">
        <v>0</v>
      </c>
    </row>
    <row r="43" spans="2:6" ht="14.25" customHeight="1">
      <c r="B43" s="407" t="s">
        <v>107</v>
      </c>
      <c r="C43" s="409" t="s">
        <v>203</v>
      </c>
      <c r="D43" s="410"/>
      <c r="E43" s="413" t="s">
        <v>0</v>
      </c>
      <c r="F43" s="415">
        <v>3.213</v>
      </c>
    </row>
    <row r="44" spans="2:6" ht="15" customHeight="1" thickBot="1">
      <c r="B44" s="408"/>
      <c r="C44" s="411"/>
      <c r="D44" s="412"/>
      <c r="E44" s="414"/>
      <c r="F44" s="416">
        <v>0</v>
      </c>
    </row>
    <row r="45" spans="2:6" ht="15" customHeight="1" thickTop="1">
      <c r="B45" s="213"/>
      <c r="C45" s="212"/>
      <c r="D45" s="212"/>
      <c r="E45" s="212"/>
      <c r="F45" s="214"/>
    </row>
    <row r="46" spans="2:6" ht="15" customHeight="1">
      <c r="B46" s="215"/>
      <c r="C46" s="212"/>
      <c r="D46" s="212"/>
      <c r="E46" s="212"/>
      <c r="F46" s="214"/>
    </row>
    <row r="47" spans="2:6" ht="15" customHeight="1">
      <c r="B47" s="215"/>
      <c r="C47" s="212"/>
      <c r="D47" s="212"/>
      <c r="E47" s="212"/>
      <c r="F47" s="214"/>
    </row>
    <row r="48" spans="2:6" ht="15.75" customHeight="1">
      <c r="B48" s="187"/>
      <c r="C48" s="187"/>
      <c r="D48" s="187"/>
      <c r="E48" s="187"/>
      <c r="F48" s="187"/>
    </row>
    <row r="49" spans="2:6" ht="12" customHeight="1">
      <c r="B49" s="207"/>
      <c r="C49" s="207"/>
      <c r="D49" s="207"/>
      <c r="E49" s="207"/>
      <c r="F49" s="207"/>
    </row>
    <row r="50" spans="2:6" ht="12" customHeight="1">
      <c r="B50" s="167"/>
      <c r="C50" s="207"/>
      <c r="D50" s="207"/>
      <c r="E50" s="207"/>
      <c r="F50" s="207"/>
    </row>
    <row r="51" spans="2:6" ht="12" customHeight="1">
      <c r="B51" s="167"/>
      <c r="C51" s="207"/>
      <c r="D51" s="207"/>
      <c r="E51" s="207"/>
      <c r="F51" s="207"/>
    </row>
    <row r="52" spans="2:6" ht="12" customHeight="1">
      <c r="B52" s="207"/>
      <c r="C52" s="207"/>
      <c r="D52" s="207"/>
      <c r="E52" s="207"/>
      <c r="F52" s="207"/>
    </row>
    <row r="53" spans="2:6" ht="19.5" customHeight="1">
      <c r="B53" s="207"/>
      <c r="C53" s="207"/>
      <c r="D53" s="207"/>
      <c r="E53" s="406"/>
      <c r="F53" s="406"/>
    </row>
    <row r="54" spans="2:6" ht="16.5" customHeight="1">
      <c r="B54" s="207"/>
      <c r="C54" s="207"/>
      <c r="D54" s="207"/>
      <c r="E54" s="187"/>
      <c r="F54" s="187"/>
    </row>
    <row r="55" spans="2:6" ht="16.5" customHeight="1">
      <c r="B55" s="207"/>
      <c r="C55" s="207"/>
      <c r="D55" s="207"/>
      <c r="E55" s="431"/>
      <c r="F55" s="431"/>
    </row>
    <row r="56" spans="2:6" ht="15" customHeight="1">
      <c r="B56" s="207"/>
      <c r="C56" s="207"/>
      <c r="D56" s="207"/>
      <c r="E56" s="449"/>
      <c r="F56" s="449"/>
    </row>
    <row r="57" spans="2:6" ht="16.5" customHeight="1">
      <c r="B57" s="207"/>
      <c r="C57" s="207"/>
      <c r="D57" s="207"/>
      <c r="E57" s="207"/>
      <c r="F57" s="207"/>
    </row>
    <row r="58" ht="15">
      <c r="B58" s="207"/>
    </row>
  </sheetData>
  <sheetProtection/>
  <mergeCells count="50">
    <mergeCell ref="B4:F4"/>
    <mergeCell ref="B6:F6"/>
    <mergeCell ref="B7:F8"/>
    <mergeCell ref="B19:B24"/>
    <mergeCell ref="B15:B17"/>
    <mergeCell ref="C15:D17"/>
    <mergeCell ref="B9:F9"/>
    <mergeCell ref="B10:F10"/>
    <mergeCell ref="C20:D20"/>
    <mergeCell ref="E15:E17"/>
    <mergeCell ref="E53:F53"/>
    <mergeCell ref="F35:F36"/>
    <mergeCell ref="C18:D18"/>
    <mergeCell ref="C19:D19"/>
    <mergeCell ref="E55:F55"/>
    <mergeCell ref="E43:E44"/>
    <mergeCell ref="F43:F44"/>
    <mergeCell ref="C21:D21"/>
    <mergeCell ref="C22:D22"/>
    <mergeCell ref="E56:F56"/>
    <mergeCell ref="B31:B42"/>
    <mergeCell ref="E33:E34"/>
    <mergeCell ref="F33:F34"/>
    <mergeCell ref="B25:B30"/>
    <mergeCell ref="F37:F38"/>
    <mergeCell ref="F39:F40"/>
    <mergeCell ref="F41:F42"/>
    <mergeCell ref="B43:B44"/>
    <mergeCell ref="C43:D44"/>
    <mergeCell ref="D35:D36"/>
    <mergeCell ref="E35:E36"/>
    <mergeCell ref="D37:D38"/>
    <mergeCell ref="E37:E38"/>
    <mergeCell ref="C23:D23"/>
    <mergeCell ref="C24:D24"/>
    <mergeCell ref="C25:D25"/>
    <mergeCell ref="C26:D26"/>
    <mergeCell ref="C27:D27"/>
    <mergeCell ref="C28:D28"/>
    <mergeCell ref="C39:C42"/>
    <mergeCell ref="D39:D40"/>
    <mergeCell ref="E39:E40"/>
    <mergeCell ref="D41:D42"/>
    <mergeCell ref="E41:E42"/>
    <mergeCell ref="C30:D30"/>
    <mergeCell ref="C32:E32"/>
    <mergeCell ref="C33:C34"/>
    <mergeCell ref="D33:D34"/>
    <mergeCell ref="C35:C38"/>
  </mergeCells>
  <printOptions horizontalCentered="1"/>
  <pageMargins left="0.511811023622047" right="0.511811023622047" top="0.354330708661417" bottom="0.354330708661417" header="0.31496062992126" footer="0.31496062992126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B1:F58"/>
  <sheetViews>
    <sheetView showGridLines="0" zoomScalePageLayoutView="0" workbookViewId="0" topLeftCell="A13">
      <selection activeCell="F35" sqref="F35:F36"/>
    </sheetView>
  </sheetViews>
  <sheetFormatPr defaultColWidth="8.8515625" defaultRowHeight="12.75"/>
  <cols>
    <col min="1" max="1" width="9.140625" style="205" customWidth="1"/>
    <col min="2" max="2" width="29.57421875" style="205" customWidth="1"/>
    <col min="3" max="3" width="19.28125" style="205" customWidth="1"/>
    <col min="4" max="4" width="28.28125" style="205" customWidth="1"/>
    <col min="5" max="5" width="12.28125" style="205" customWidth="1"/>
    <col min="6" max="6" width="21.7109375" style="205" customWidth="1"/>
    <col min="7" max="16384" width="8.8515625" style="205" customWidth="1"/>
  </cols>
  <sheetData>
    <row r="1" ht="14.25">
      <c r="F1" s="206"/>
    </row>
    <row r="4" spans="2:6" ht="81.75" customHeight="1">
      <c r="B4" s="441"/>
      <c r="C4" s="441"/>
      <c r="D4" s="441"/>
      <c r="E4" s="441"/>
      <c r="F4" s="441"/>
    </row>
    <row r="5" spans="2:6" ht="15">
      <c r="B5" s="207"/>
      <c r="C5" s="207"/>
      <c r="D5" s="207"/>
      <c r="E5" s="207"/>
      <c r="F5" s="207"/>
    </row>
    <row r="6" spans="2:6" ht="15">
      <c r="B6" s="449"/>
      <c r="C6" s="449"/>
      <c r="D6" s="449"/>
      <c r="E6" s="449"/>
      <c r="F6" s="449"/>
    </row>
    <row r="7" spans="2:6" ht="15" customHeight="1">
      <c r="B7" s="450" t="s">
        <v>210</v>
      </c>
      <c r="C7" s="450"/>
      <c r="D7" s="450"/>
      <c r="E7" s="450"/>
      <c r="F7" s="450"/>
    </row>
    <row r="8" spans="2:6" ht="12.75" customHeight="1">
      <c r="B8" s="450"/>
      <c r="C8" s="450"/>
      <c r="D8" s="450"/>
      <c r="E8" s="450"/>
      <c r="F8" s="450"/>
    </row>
    <row r="9" spans="2:6" ht="15.75">
      <c r="B9" s="451" t="s">
        <v>211</v>
      </c>
      <c r="C9" s="451"/>
      <c r="D9" s="451"/>
      <c r="E9" s="451"/>
      <c r="F9" s="451"/>
    </row>
    <row r="10" spans="2:6" ht="15.75">
      <c r="B10" s="451"/>
      <c r="C10" s="451"/>
      <c r="D10" s="451"/>
      <c r="E10" s="451"/>
      <c r="F10" s="451"/>
    </row>
    <row r="11" spans="2:6" ht="15">
      <c r="B11" s="207"/>
      <c r="C11" s="207"/>
      <c r="D11" s="207"/>
      <c r="E11" s="207"/>
      <c r="F11" s="207"/>
    </row>
    <row r="12" spans="2:6" ht="15">
      <c r="B12" s="187"/>
      <c r="C12" s="207"/>
      <c r="D12" s="207"/>
      <c r="E12" s="207"/>
      <c r="F12" s="207"/>
    </row>
    <row r="13" spans="2:6" ht="15">
      <c r="B13" s="187"/>
      <c r="C13" s="207"/>
      <c r="D13" s="207"/>
      <c r="E13" s="207"/>
      <c r="F13" s="207"/>
    </row>
    <row r="14" spans="2:6" ht="15.75" thickBot="1">
      <c r="B14" s="207"/>
      <c r="C14" s="207"/>
      <c r="D14" s="207"/>
      <c r="E14" s="207"/>
      <c r="F14" s="207"/>
    </row>
    <row r="15" spans="2:6" ht="15" customHeight="1" thickTop="1">
      <c r="B15" s="443" t="s">
        <v>196</v>
      </c>
      <c r="C15" s="445" t="s">
        <v>168</v>
      </c>
      <c r="D15" s="446"/>
      <c r="E15" s="433" t="s">
        <v>34</v>
      </c>
      <c r="F15" s="208" t="s">
        <v>35</v>
      </c>
    </row>
    <row r="16" spans="2:6" ht="14.25">
      <c r="B16" s="436"/>
      <c r="C16" s="447"/>
      <c r="D16" s="434"/>
      <c r="E16" s="434"/>
      <c r="F16" s="209" t="s">
        <v>37</v>
      </c>
    </row>
    <row r="17" spans="2:6" ht="15" thickBot="1">
      <c r="B17" s="444"/>
      <c r="C17" s="448"/>
      <c r="D17" s="435"/>
      <c r="E17" s="435"/>
      <c r="F17" s="210" t="s">
        <v>40</v>
      </c>
    </row>
    <row r="18" spans="2:6" ht="18" thickBot="1" thickTop="1">
      <c r="B18" s="301">
        <v>1</v>
      </c>
      <c r="C18" s="402">
        <v>2</v>
      </c>
      <c r="D18" s="403"/>
      <c r="E18" s="302">
        <v>3</v>
      </c>
      <c r="F18" s="211">
        <v>4</v>
      </c>
    </row>
    <row r="19" spans="2:6" ht="18.75" customHeight="1" thickTop="1">
      <c r="B19" s="407" t="s">
        <v>197</v>
      </c>
      <c r="C19" s="404" t="s">
        <v>198</v>
      </c>
      <c r="D19" s="405"/>
      <c r="E19" s="303" t="s">
        <v>5</v>
      </c>
      <c r="F19" s="194">
        <v>116.734</v>
      </c>
    </row>
    <row r="20" spans="2:6" ht="18.75" customHeight="1">
      <c r="B20" s="436"/>
      <c r="C20" s="349" t="s">
        <v>174</v>
      </c>
      <c r="D20" s="350"/>
      <c r="E20" s="303" t="s">
        <v>5</v>
      </c>
      <c r="F20" s="195">
        <v>466.935</v>
      </c>
    </row>
    <row r="21" spans="2:6" ht="18.75" customHeight="1">
      <c r="B21" s="436"/>
      <c r="C21" s="345" t="s">
        <v>175</v>
      </c>
      <c r="D21" s="346"/>
      <c r="E21" s="304" t="s">
        <v>0</v>
      </c>
      <c r="F21" s="196">
        <v>1.268</v>
      </c>
    </row>
    <row r="22" spans="2:6" ht="18.75" customHeight="1">
      <c r="B22" s="436"/>
      <c r="C22" s="347" t="s">
        <v>176</v>
      </c>
      <c r="D22" s="348"/>
      <c r="E22" s="305" t="s">
        <v>0</v>
      </c>
      <c r="F22" s="197">
        <v>0.423</v>
      </c>
    </row>
    <row r="23" spans="2:6" ht="18.75" customHeight="1">
      <c r="B23" s="436"/>
      <c r="C23" s="349" t="s">
        <v>177</v>
      </c>
      <c r="D23" s="350"/>
      <c r="E23" s="306" t="s">
        <v>42</v>
      </c>
      <c r="F23" s="198">
        <v>0.576</v>
      </c>
    </row>
    <row r="24" spans="2:6" ht="18.75" customHeight="1" thickBot="1">
      <c r="B24" s="436"/>
      <c r="C24" s="351" t="s">
        <v>178</v>
      </c>
      <c r="D24" s="352"/>
      <c r="E24" s="307" t="s">
        <v>42</v>
      </c>
      <c r="F24" s="199">
        <v>1.153</v>
      </c>
    </row>
    <row r="25" spans="2:6" ht="18.75" customHeight="1">
      <c r="B25" s="407" t="s">
        <v>199</v>
      </c>
      <c r="C25" s="437" t="s">
        <v>198</v>
      </c>
      <c r="D25" s="438"/>
      <c r="E25" s="303" t="s">
        <v>5</v>
      </c>
      <c r="F25" s="194">
        <v>186.774</v>
      </c>
    </row>
    <row r="26" spans="2:6" ht="18.75" customHeight="1">
      <c r="B26" s="436"/>
      <c r="C26" s="349" t="s">
        <v>174</v>
      </c>
      <c r="D26" s="350"/>
      <c r="E26" s="303" t="s">
        <v>5</v>
      </c>
      <c r="F26" s="195">
        <v>747.096</v>
      </c>
    </row>
    <row r="27" spans="2:6" ht="18.75" customHeight="1">
      <c r="B27" s="436"/>
      <c r="C27" s="345" t="s">
        <v>175</v>
      </c>
      <c r="D27" s="346"/>
      <c r="E27" s="304" t="s">
        <v>0</v>
      </c>
      <c r="F27" s="196">
        <v>2.917</v>
      </c>
    </row>
    <row r="28" spans="2:6" ht="18.75" customHeight="1">
      <c r="B28" s="436"/>
      <c r="C28" s="347" t="s">
        <v>176</v>
      </c>
      <c r="D28" s="348"/>
      <c r="E28" s="305" t="s">
        <v>0</v>
      </c>
      <c r="F28" s="197">
        <v>0.972</v>
      </c>
    </row>
    <row r="29" spans="2:6" ht="18.75" customHeight="1">
      <c r="B29" s="436"/>
      <c r="C29" s="278" t="s">
        <v>177</v>
      </c>
      <c r="D29" s="279"/>
      <c r="E29" s="306" t="s">
        <v>42</v>
      </c>
      <c r="F29" s="198">
        <v>1.614</v>
      </c>
    </row>
    <row r="30" spans="2:6" ht="18.75" customHeight="1" thickBot="1">
      <c r="B30" s="436"/>
      <c r="C30" s="351" t="s">
        <v>178</v>
      </c>
      <c r="D30" s="352"/>
      <c r="E30" s="307" t="s">
        <v>42</v>
      </c>
      <c r="F30" s="199">
        <v>3.228</v>
      </c>
    </row>
    <row r="31" spans="2:6" ht="14.25" customHeight="1">
      <c r="B31" s="407" t="s">
        <v>106</v>
      </c>
      <c r="C31" s="308" t="s">
        <v>198</v>
      </c>
      <c r="D31" s="309"/>
      <c r="E31" s="310" t="s">
        <v>5</v>
      </c>
      <c r="F31" s="200">
        <v>58.367</v>
      </c>
    </row>
    <row r="32" spans="2:6" ht="16.5">
      <c r="B32" s="436"/>
      <c r="C32" s="428" t="s">
        <v>20</v>
      </c>
      <c r="D32" s="429"/>
      <c r="E32" s="429"/>
      <c r="F32" s="201"/>
    </row>
    <row r="33" spans="2:6" ht="14.25" customHeight="1">
      <c r="B33" s="436"/>
      <c r="C33" s="396" t="s">
        <v>181</v>
      </c>
      <c r="D33" s="398" t="s">
        <v>200</v>
      </c>
      <c r="E33" s="439" t="s">
        <v>0</v>
      </c>
      <c r="F33" s="400">
        <v>3.201</v>
      </c>
    </row>
    <row r="34" spans="2:6" ht="14.25">
      <c r="B34" s="436"/>
      <c r="C34" s="397"/>
      <c r="D34" s="399"/>
      <c r="E34" s="440"/>
      <c r="F34" s="401">
        <v>0</v>
      </c>
    </row>
    <row r="35" spans="2:6" ht="14.25" customHeight="1">
      <c r="B35" s="436"/>
      <c r="C35" s="417" t="s">
        <v>185</v>
      </c>
      <c r="D35" s="420" t="s">
        <v>175</v>
      </c>
      <c r="E35" s="422" t="s">
        <v>0</v>
      </c>
      <c r="F35" s="400">
        <v>3.659</v>
      </c>
    </row>
    <row r="36" spans="2:6" ht="14.25">
      <c r="B36" s="436"/>
      <c r="C36" s="418"/>
      <c r="D36" s="421"/>
      <c r="E36" s="423"/>
      <c r="F36" s="401">
        <v>0</v>
      </c>
    </row>
    <row r="37" spans="2:6" ht="14.25">
      <c r="B37" s="436"/>
      <c r="C37" s="418"/>
      <c r="D37" s="421" t="s">
        <v>201</v>
      </c>
      <c r="E37" s="423" t="s">
        <v>0</v>
      </c>
      <c r="F37" s="400">
        <v>0.915</v>
      </c>
    </row>
    <row r="38" spans="2:6" ht="14.25">
      <c r="B38" s="436"/>
      <c r="C38" s="419"/>
      <c r="D38" s="424"/>
      <c r="E38" s="427"/>
      <c r="F38" s="401">
        <v>0</v>
      </c>
    </row>
    <row r="39" spans="2:6" ht="14.25" customHeight="1">
      <c r="B39" s="436"/>
      <c r="C39" s="417" t="s">
        <v>192</v>
      </c>
      <c r="D39" s="420" t="s">
        <v>202</v>
      </c>
      <c r="E39" s="422" t="s">
        <v>0</v>
      </c>
      <c r="F39" s="400">
        <v>3.11</v>
      </c>
    </row>
    <row r="40" spans="2:6" ht="14.25">
      <c r="B40" s="436"/>
      <c r="C40" s="418"/>
      <c r="D40" s="421"/>
      <c r="E40" s="423"/>
      <c r="F40" s="401">
        <v>0</v>
      </c>
    </row>
    <row r="41" spans="2:6" ht="14.25" customHeight="1">
      <c r="B41" s="436"/>
      <c r="C41" s="418"/>
      <c r="D41" s="421" t="s">
        <v>201</v>
      </c>
      <c r="E41" s="423" t="s">
        <v>0</v>
      </c>
      <c r="F41" s="400">
        <v>0.777</v>
      </c>
    </row>
    <row r="42" spans="2:6" ht="15" thickBot="1">
      <c r="B42" s="436"/>
      <c r="C42" s="419"/>
      <c r="D42" s="425"/>
      <c r="E42" s="426"/>
      <c r="F42" s="432">
        <v>0</v>
      </c>
    </row>
    <row r="43" spans="2:6" ht="14.25" customHeight="1">
      <c r="B43" s="407" t="s">
        <v>107</v>
      </c>
      <c r="C43" s="409" t="s">
        <v>203</v>
      </c>
      <c r="D43" s="410"/>
      <c r="E43" s="413" t="s">
        <v>0</v>
      </c>
      <c r="F43" s="415">
        <v>3.523</v>
      </c>
    </row>
    <row r="44" spans="2:6" ht="15" customHeight="1" thickBot="1">
      <c r="B44" s="408"/>
      <c r="C44" s="411"/>
      <c r="D44" s="412"/>
      <c r="E44" s="414"/>
      <c r="F44" s="416">
        <v>0</v>
      </c>
    </row>
    <row r="45" spans="2:6" ht="15" customHeight="1" thickTop="1">
      <c r="B45" s="213"/>
      <c r="C45" s="212"/>
      <c r="D45" s="212"/>
      <c r="E45" s="212"/>
      <c r="F45" s="214"/>
    </row>
    <row r="46" spans="2:6" ht="15" customHeight="1">
      <c r="B46" s="215"/>
      <c r="C46" s="212"/>
      <c r="D46" s="212"/>
      <c r="E46" s="212"/>
      <c r="F46" s="214"/>
    </row>
    <row r="47" spans="2:6" ht="15" customHeight="1">
      <c r="B47" s="215"/>
      <c r="C47" s="212"/>
      <c r="D47" s="212"/>
      <c r="E47" s="212"/>
      <c r="F47" s="214"/>
    </row>
    <row r="48" spans="2:6" ht="15.75" customHeight="1">
      <c r="B48" s="187"/>
      <c r="C48" s="187"/>
      <c r="D48" s="187"/>
      <c r="E48" s="187"/>
      <c r="F48" s="187"/>
    </row>
    <row r="49" spans="2:6" ht="15.75" customHeight="1">
      <c r="B49" s="207"/>
      <c r="C49" s="187"/>
      <c r="D49" s="187"/>
      <c r="E49" s="187"/>
      <c r="F49" s="187"/>
    </row>
    <row r="50" spans="2:6" ht="15.75" customHeight="1">
      <c r="B50" s="167"/>
      <c r="C50" s="187"/>
      <c r="D50" s="187"/>
      <c r="E50" s="187"/>
      <c r="F50" s="187"/>
    </row>
    <row r="51" spans="2:6" ht="12" customHeight="1">
      <c r="B51" s="167"/>
      <c r="C51" s="207"/>
      <c r="D51" s="207"/>
      <c r="E51" s="207"/>
      <c r="F51" s="207"/>
    </row>
    <row r="52" spans="2:6" ht="12" customHeight="1">
      <c r="B52" s="207"/>
      <c r="C52" s="207"/>
      <c r="D52" s="207"/>
      <c r="E52" s="207"/>
      <c r="F52" s="207"/>
    </row>
    <row r="53" spans="2:6" ht="19.5" customHeight="1">
      <c r="B53" s="207"/>
      <c r="C53" s="207"/>
      <c r="D53" s="207"/>
      <c r="E53" s="406"/>
      <c r="F53" s="406"/>
    </row>
    <row r="54" spans="2:6" ht="16.5" customHeight="1">
      <c r="B54" s="207"/>
      <c r="C54" s="207"/>
      <c r="D54" s="207"/>
      <c r="E54" s="187"/>
      <c r="F54" s="187"/>
    </row>
    <row r="55" spans="2:6" ht="16.5" customHeight="1">
      <c r="B55" s="207"/>
      <c r="C55" s="207"/>
      <c r="D55" s="207"/>
      <c r="E55" s="431"/>
      <c r="F55" s="431"/>
    </row>
    <row r="56" spans="2:6" ht="15" customHeight="1">
      <c r="B56" s="207"/>
      <c r="C56" s="207"/>
      <c r="D56" s="207"/>
      <c r="E56" s="449"/>
      <c r="F56" s="449"/>
    </row>
    <row r="57" spans="2:6" ht="16.5" customHeight="1">
      <c r="B57" s="207"/>
      <c r="C57" s="207"/>
      <c r="D57" s="207"/>
      <c r="E57" s="207"/>
      <c r="F57" s="207"/>
    </row>
    <row r="58" ht="15">
      <c r="B58" s="207"/>
    </row>
  </sheetData>
  <sheetProtection/>
  <mergeCells count="50">
    <mergeCell ref="B4:F4"/>
    <mergeCell ref="B6:F6"/>
    <mergeCell ref="B7:F8"/>
    <mergeCell ref="B19:B24"/>
    <mergeCell ref="B15:B17"/>
    <mergeCell ref="C15:D17"/>
    <mergeCell ref="B9:F9"/>
    <mergeCell ref="B10:F10"/>
    <mergeCell ref="C20:D20"/>
    <mergeCell ref="E15:E17"/>
    <mergeCell ref="E53:F53"/>
    <mergeCell ref="F35:F36"/>
    <mergeCell ref="C18:D18"/>
    <mergeCell ref="C19:D19"/>
    <mergeCell ref="E55:F55"/>
    <mergeCell ref="E43:E44"/>
    <mergeCell ref="F43:F44"/>
    <mergeCell ref="C21:D21"/>
    <mergeCell ref="C22:D22"/>
    <mergeCell ref="E56:F56"/>
    <mergeCell ref="B31:B42"/>
    <mergeCell ref="E33:E34"/>
    <mergeCell ref="F33:F34"/>
    <mergeCell ref="B25:B30"/>
    <mergeCell ref="F37:F38"/>
    <mergeCell ref="F39:F40"/>
    <mergeCell ref="F41:F42"/>
    <mergeCell ref="B43:B44"/>
    <mergeCell ref="C43:D44"/>
    <mergeCell ref="D35:D36"/>
    <mergeCell ref="E35:E36"/>
    <mergeCell ref="D37:D38"/>
    <mergeCell ref="E37:E38"/>
    <mergeCell ref="C23:D23"/>
    <mergeCell ref="C24:D24"/>
    <mergeCell ref="C25:D25"/>
    <mergeCell ref="C26:D26"/>
    <mergeCell ref="C27:D27"/>
    <mergeCell ref="C28:D28"/>
    <mergeCell ref="C39:C42"/>
    <mergeCell ref="D39:D40"/>
    <mergeCell ref="E39:E40"/>
    <mergeCell ref="D41:D42"/>
    <mergeCell ref="E41:E42"/>
    <mergeCell ref="C30:D30"/>
    <mergeCell ref="C32:E32"/>
    <mergeCell ref="C33:C34"/>
    <mergeCell ref="D33:D34"/>
    <mergeCell ref="C35:C38"/>
  </mergeCells>
  <printOptions horizontalCentered="1"/>
  <pageMargins left="0.511811023622047" right="0.511811023622047" top="0.354330708661417" bottom="0.354330708661417" header="0.31496062992126" footer="0.31496062992126"/>
  <pageSetup fitToHeight="1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B1:F58"/>
  <sheetViews>
    <sheetView showGridLines="0" zoomScalePageLayoutView="0" workbookViewId="0" topLeftCell="A13">
      <selection activeCell="F35" sqref="F35:F36"/>
    </sheetView>
  </sheetViews>
  <sheetFormatPr defaultColWidth="8.8515625" defaultRowHeight="12.75"/>
  <cols>
    <col min="1" max="1" width="9.140625" style="205" customWidth="1"/>
    <col min="2" max="2" width="29.57421875" style="205" customWidth="1"/>
    <col min="3" max="3" width="19.28125" style="205" customWidth="1"/>
    <col min="4" max="4" width="28.28125" style="205" customWidth="1"/>
    <col min="5" max="5" width="12.28125" style="205" customWidth="1"/>
    <col min="6" max="6" width="21.7109375" style="205" customWidth="1"/>
    <col min="7" max="16384" width="8.8515625" style="205" customWidth="1"/>
  </cols>
  <sheetData>
    <row r="1" ht="14.25">
      <c r="F1" s="206"/>
    </row>
    <row r="4" spans="2:6" ht="78.75" customHeight="1">
      <c r="B4" s="441"/>
      <c r="C4" s="441"/>
      <c r="D4" s="441"/>
      <c r="E4" s="441"/>
      <c r="F4" s="441"/>
    </row>
    <row r="5" spans="2:6" ht="15">
      <c r="B5" s="207"/>
      <c r="C5" s="207"/>
      <c r="D5" s="207"/>
      <c r="E5" s="207"/>
      <c r="F5" s="207"/>
    </row>
    <row r="6" spans="2:6" ht="15">
      <c r="B6" s="449"/>
      <c r="C6" s="449"/>
      <c r="D6" s="449"/>
      <c r="E6" s="449"/>
      <c r="F6" s="449"/>
    </row>
    <row r="7" spans="2:6" ht="15" customHeight="1">
      <c r="B7" s="450" t="s">
        <v>210</v>
      </c>
      <c r="C7" s="450"/>
      <c r="D7" s="450"/>
      <c r="E7" s="450"/>
      <c r="F7" s="450"/>
    </row>
    <row r="8" spans="2:6" ht="12.75" customHeight="1">
      <c r="B8" s="450"/>
      <c r="C8" s="450"/>
      <c r="D8" s="450"/>
      <c r="E8" s="450"/>
      <c r="F8" s="450"/>
    </row>
    <row r="9" spans="2:6" ht="15.75">
      <c r="B9" s="451" t="s">
        <v>211</v>
      </c>
      <c r="C9" s="451"/>
      <c r="D9" s="451"/>
      <c r="E9" s="451"/>
      <c r="F9" s="451"/>
    </row>
    <row r="10" spans="2:6" ht="15.75">
      <c r="B10" s="451"/>
      <c r="C10" s="451"/>
      <c r="D10" s="451"/>
      <c r="E10" s="451"/>
      <c r="F10" s="451"/>
    </row>
    <row r="11" spans="2:6" ht="15">
      <c r="B11" s="207"/>
      <c r="C11" s="207"/>
      <c r="D11" s="207"/>
      <c r="E11" s="207"/>
      <c r="F11" s="207"/>
    </row>
    <row r="12" spans="2:6" ht="15">
      <c r="B12" s="187"/>
      <c r="C12" s="207"/>
      <c r="D12" s="207"/>
      <c r="E12" s="207"/>
      <c r="F12" s="207"/>
    </row>
    <row r="13" spans="2:6" ht="15">
      <c r="B13" s="187"/>
      <c r="C13" s="207"/>
      <c r="D13" s="207"/>
      <c r="E13" s="207"/>
      <c r="F13" s="207"/>
    </row>
    <row r="14" spans="2:6" ht="15.75" thickBot="1">
      <c r="B14" s="207"/>
      <c r="C14" s="207"/>
      <c r="D14" s="207"/>
      <c r="E14" s="207"/>
      <c r="F14" s="207"/>
    </row>
    <row r="15" spans="2:6" ht="15" customHeight="1" thickTop="1">
      <c r="B15" s="443" t="s">
        <v>196</v>
      </c>
      <c r="C15" s="445" t="s">
        <v>168</v>
      </c>
      <c r="D15" s="446"/>
      <c r="E15" s="433" t="s">
        <v>34</v>
      </c>
      <c r="F15" s="208" t="s">
        <v>35</v>
      </c>
    </row>
    <row r="16" spans="2:6" ht="14.25">
      <c r="B16" s="436"/>
      <c r="C16" s="447"/>
      <c r="D16" s="434"/>
      <c r="E16" s="434"/>
      <c r="F16" s="209" t="s">
        <v>37</v>
      </c>
    </row>
    <row r="17" spans="2:6" ht="15" thickBot="1">
      <c r="B17" s="444"/>
      <c r="C17" s="448"/>
      <c r="D17" s="435"/>
      <c r="E17" s="435"/>
      <c r="F17" s="210" t="s">
        <v>40</v>
      </c>
    </row>
    <row r="18" spans="2:6" ht="18" thickBot="1" thickTop="1">
      <c r="B18" s="301">
        <v>1</v>
      </c>
      <c r="C18" s="402">
        <v>2</v>
      </c>
      <c r="D18" s="403"/>
      <c r="E18" s="302">
        <v>3</v>
      </c>
      <c r="F18" s="211">
        <v>4</v>
      </c>
    </row>
    <row r="19" spans="2:6" ht="18.75" customHeight="1" thickTop="1">
      <c r="B19" s="407" t="s">
        <v>197</v>
      </c>
      <c r="C19" s="404" t="s">
        <v>198</v>
      </c>
      <c r="D19" s="405"/>
      <c r="E19" s="303" t="s">
        <v>5</v>
      </c>
      <c r="F19" s="194">
        <v>109.425</v>
      </c>
    </row>
    <row r="20" spans="2:6" ht="18.75" customHeight="1">
      <c r="B20" s="436"/>
      <c r="C20" s="349" t="s">
        <v>174</v>
      </c>
      <c r="D20" s="350"/>
      <c r="E20" s="303" t="s">
        <v>5</v>
      </c>
      <c r="F20" s="195">
        <v>437.701</v>
      </c>
    </row>
    <row r="21" spans="2:6" ht="18.75" customHeight="1">
      <c r="B21" s="436"/>
      <c r="C21" s="345" t="s">
        <v>175</v>
      </c>
      <c r="D21" s="346"/>
      <c r="E21" s="304" t="s">
        <v>0</v>
      </c>
      <c r="F21" s="196">
        <v>1.789</v>
      </c>
    </row>
    <row r="22" spans="2:6" ht="18.75" customHeight="1">
      <c r="B22" s="436"/>
      <c r="C22" s="347" t="s">
        <v>176</v>
      </c>
      <c r="D22" s="348"/>
      <c r="E22" s="305" t="s">
        <v>0</v>
      </c>
      <c r="F22" s="197">
        <v>0.596</v>
      </c>
    </row>
    <row r="23" spans="2:6" ht="18.75" customHeight="1">
      <c r="B23" s="436"/>
      <c r="C23" s="349" t="s">
        <v>177</v>
      </c>
      <c r="D23" s="350"/>
      <c r="E23" s="306" t="s">
        <v>42</v>
      </c>
      <c r="F23" s="198">
        <v>0.712</v>
      </c>
    </row>
    <row r="24" spans="2:6" ht="18.75" customHeight="1" thickBot="1">
      <c r="B24" s="436"/>
      <c r="C24" s="351" t="s">
        <v>178</v>
      </c>
      <c r="D24" s="352"/>
      <c r="E24" s="307" t="s">
        <v>42</v>
      </c>
      <c r="F24" s="199">
        <v>1.424</v>
      </c>
    </row>
    <row r="25" spans="2:6" ht="18.75" customHeight="1">
      <c r="B25" s="407" t="s">
        <v>199</v>
      </c>
      <c r="C25" s="437" t="s">
        <v>198</v>
      </c>
      <c r="D25" s="438"/>
      <c r="E25" s="303" t="s">
        <v>5</v>
      </c>
      <c r="F25" s="194">
        <v>175.08</v>
      </c>
    </row>
    <row r="26" spans="2:6" ht="18.75" customHeight="1">
      <c r="B26" s="436"/>
      <c r="C26" s="349" t="s">
        <v>174</v>
      </c>
      <c r="D26" s="350"/>
      <c r="E26" s="303" t="s">
        <v>5</v>
      </c>
      <c r="F26" s="195">
        <v>700.321</v>
      </c>
    </row>
    <row r="27" spans="2:6" ht="18.75" customHeight="1">
      <c r="B27" s="436"/>
      <c r="C27" s="345" t="s">
        <v>175</v>
      </c>
      <c r="D27" s="346"/>
      <c r="E27" s="304" t="s">
        <v>0</v>
      </c>
      <c r="F27" s="196">
        <v>4.116</v>
      </c>
    </row>
    <row r="28" spans="2:6" ht="18.75" customHeight="1">
      <c r="B28" s="436"/>
      <c r="C28" s="347" t="s">
        <v>176</v>
      </c>
      <c r="D28" s="348"/>
      <c r="E28" s="305" t="s">
        <v>0</v>
      </c>
      <c r="F28" s="197">
        <v>1.372</v>
      </c>
    </row>
    <row r="29" spans="2:6" ht="18.75" customHeight="1">
      <c r="B29" s="436"/>
      <c r="C29" s="278" t="s">
        <v>177</v>
      </c>
      <c r="D29" s="279"/>
      <c r="E29" s="306" t="s">
        <v>42</v>
      </c>
      <c r="F29" s="198">
        <v>1.994</v>
      </c>
    </row>
    <row r="30" spans="2:6" ht="18.75" customHeight="1" thickBot="1">
      <c r="B30" s="436"/>
      <c r="C30" s="351" t="s">
        <v>178</v>
      </c>
      <c r="D30" s="352"/>
      <c r="E30" s="307" t="s">
        <v>42</v>
      </c>
      <c r="F30" s="199">
        <v>3.988</v>
      </c>
    </row>
    <row r="31" spans="2:6" ht="14.25" customHeight="1">
      <c r="B31" s="407" t="s">
        <v>106</v>
      </c>
      <c r="C31" s="308" t="s">
        <v>198</v>
      </c>
      <c r="D31" s="309"/>
      <c r="E31" s="310" t="s">
        <v>5</v>
      </c>
      <c r="F31" s="200">
        <v>54.713</v>
      </c>
    </row>
    <row r="32" spans="2:6" ht="16.5">
      <c r="B32" s="436"/>
      <c r="C32" s="428" t="s">
        <v>20</v>
      </c>
      <c r="D32" s="429"/>
      <c r="E32" s="429"/>
      <c r="F32" s="201"/>
    </row>
    <row r="33" spans="2:6" ht="14.25" customHeight="1">
      <c r="B33" s="436"/>
      <c r="C33" s="396" t="s">
        <v>181</v>
      </c>
      <c r="D33" s="398" t="s">
        <v>200</v>
      </c>
      <c r="E33" s="439" t="s">
        <v>0</v>
      </c>
      <c r="F33" s="400">
        <v>2.947</v>
      </c>
    </row>
    <row r="34" spans="2:6" ht="14.25">
      <c r="B34" s="436"/>
      <c r="C34" s="397"/>
      <c r="D34" s="399"/>
      <c r="E34" s="440"/>
      <c r="F34" s="401">
        <v>0</v>
      </c>
    </row>
    <row r="35" spans="2:6" ht="14.25" customHeight="1">
      <c r="B35" s="436"/>
      <c r="C35" s="417" t="s">
        <v>185</v>
      </c>
      <c r="D35" s="420" t="s">
        <v>175</v>
      </c>
      <c r="E35" s="422" t="s">
        <v>0</v>
      </c>
      <c r="F35" s="400">
        <v>3.368</v>
      </c>
    </row>
    <row r="36" spans="2:6" ht="14.25">
      <c r="B36" s="436"/>
      <c r="C36" s="418"/>
      <c r="D36" s="421"/>
      <c r="E36" s="423"/>
      <c r="F36" s="401">
        <v>0</v>
      </c>
    </row>
    <row r="37" spans="2:6" ht="14.25">
      <c r="B37" s="436"/>
      <c r="C37" s="418"/>
      <c r="D37" s="421" t="s">
        <v>201</v>
      </c>
      <c r="E37" s="423" t="s">
        <v>0</v>
      </c>
      <c r="F37" s="400">
        <v>0.842</v>
      </c>
    </row>
    <row r="38" spans="2:6" ht="14.25">
      <c r="B38" s="436"/>
      <c r="C38" s="419"/>
      <c r="D38" s="424"/>
      <c r="E38" s="427"/>
      <c r="F38" s="401">
        <v>0</v>
      </c>
    </row>
    <row r="39" spans="2:6" ht="14.25" customHeight="1">
      <c r="B39" s="436"/>
      <c r="C39" s="417" t="s">
        <v>192</v>
      </c>
      <c r="D39" s="420" t="s">
        <v>202</v>
      </c>
      <c r="E39" s="422" t="s">
        <v>0</v>
      </c>
      <c r="F39" s="400">
        <v>2.863</v>
      </c>
    </row>
    <row r="40" spans="2:6" ht="14.25">
      <c r="B40" s="436"/>
      <c r="C40" s="418"/>
      <c r="D40" s="421"/>
      <c r="E40" s="423"/>
      <c r="F40" s="401">
        <v>0</v>
      </c>
    </row>
    <row r="41" spans="2:6" ht="14.25" customHeight="1">
      <c r="B41" s="436"/>
      <c r="C41" s="418"/>
      <c r="D41" s="421" t="s">
        <v>201</v>
      </c>
      <c r="E41" s="423" t="s">
        <v>0</v>
      </c>
      <c r="F41" s="400">
        <v>0.716</v>
      </c>
    </row>
    <row r="42" spans="2:6" ht="15" thickBot="1">
      <c r="B42" s="436"/>
      <c r="C42" s="419"/>
      <c r="D42" s="425"/>
      <c r="E42" s="426"/>
      <c r="F42" s="432">
        <v>0</v>
      </c>
    </row>
    <row r="43" spans="2:6" ht="14.25" customHeight="1">
      <c r="B43" s="407" t="s">
        <v>107</v>
      </c>
      <c r="C43" s="409" t="s">
        <v>203</v>
      </c>
      <c r="D43" s="410"/>
      <c r="E43" s="413" t="s">
        <v>0</v>
      </c>
      <c r="F43" s="415">
        <v>2.791</v>
      </c>
    </row>
    <row r="44" spans="2:6" ht="15" customHeight="1" thickBot="1">
      <c r="B44" s="408"/>
      <c r="C44" s="411"/>
      <c r="D44" s="412"/>
      <c r="E44" s="414"/>
      <c r="F44" s="416">
        <v>0</v>
      </c>
    </row>
    <row r="45" spans="2:6" ht="15" customHeight="1" thickTop="1">
      <c r="B45" s="213"/>
      <c r="C45" s="212"/>
      <c r="D45" s="212"/>
      <c r="E45" s="212"/>
      <c r="F45" s="214"/>
    </row>
    <row r="46" spans="2:6" ht="15" customHeight="1">
      <c r="B46" s="215"/>
      <c r="C46" s="212"/>
      <c r="D46" s="212"/>
      <c r="E46" s="212"/>
      <c r="F46" s="214"/>
    </row>
    <row r="47" spans="2:6" ht="15" customHeight="1">
      <c r="B47" s="215"/>
      <c r="C47" s="212"/>
      <c r="D47" s="212"/>
      <c r="E47" s="212"/>
      <c r="F47" s="214"/>
    </row>
    <row r="48" spans="2:6" ht="15.75" customHeight="1">
      <c r="B48" s="187"/>
      <c r="C48" s="187"/>
      <c r="D48" s="187"/>
      <c r="E48" s="187"/>
      <c r="F48" s="187"/>
    </row>
    <row r="49" spans="2:6" ht="15.75" customHeight="1">
      <c r="B49" s="207"/>
      <c r="C49" s="187"/>
      <c r="D49" s="187"/>
      <c r="E49" s="187"/>
      <c r="F49" s="187"/>
    </row>
    <row r="50" spans="2:6" ht="15.75" customHeight="1">
      <c r="B50" s="167"/>
      <c r="C50" s="187"/>
      <c r="D50" s="187"/>
      <c r="E50" s="187"/>
      <c r="F50" s="187"/>
    </row>
    <row r="51" spans="2:6" ht="12" customHeight="1">
      <c r="B51" s="167"/>
      <c r="C51" s="207"/>
      <c r="D51" s="207"/>
      <c r="E51" s="207"/>
      <c r="F51" s="207"/>
    </row>
    <row r="52" spans="2:6" ht="12" customHeight="1">
      <c r="B52" s="207"/>
      <c r="C52" s="207"/>
      <c r="D52" s="207"/>
      <c r="E52" s="207"/>
      <c r="F52" s="207"/>
    </row>
    <row r="53" spans="2:6" ht="19.5" customHeight="1">
      <c r="B53" s="207"/>
      <c r="C53" s="207"/>
      <c r="D53" s="207"/>
      <c r="E53" s="406"/>
      <c r="F53" s="406"/>
    </row>
    <row r="54" spans="2:6" ht="16.5" customHeight="1">
      <c r="B54" s="207"/>
      <c r="C54" s="207"/>
      <c r="D54" s="207"/>
      <c r="E54" s="187"/>
      <c r="F54" s="187"/>
    </row>
    <row r="55" spans="2:6" ht="16.5" customHeight="1">
      <c r="B55" s="207"/>
      <c r="C55" s="207"/>
      <c r="D55" s="207"/>
      <c r="E55" s="431"/>
      <c r="F55" s="431"/>
    </row>
    <row r="56" spans="2:6" ht="15" customHeight="1">
      <c r="B56" s="207"/>
      <c r="C56" s="207"/>
      <c r="D56" s="207"/>
      <c r="E56" s="449"/>
      <c r="F56" s="449"/>
    </row>
    <row r="57" spans="2:6" ht="16.5" customHeight="1">
      <c r="B57" s="207"/>
      <c r="C57" s="207"/>
      <c r="D57" s="207"/>
      <c r="E57" s="207"/>
      <c r="F57" s="207"/>
    </row>
    <row r="58" ht="15">
      <c r="B58" s="207"/>
    </row>
  </sheetData>
  <sheetProtection/>
  <mergeCells count="50">
    <mergeCell ref="B4:F4"/>
    <mergeCell ref="B6:F6"/>
    <mergeCell ref="B7:F8"/>
    <mergeCell ref="B19:B24"/>
    <mergeCell ref="B15:B17"/>
    <mergeCell ref="C15:D17"/>
    <mergeCell ref="B9:F9"/>
    <mergeCell ref="B10:F10"/>
    <mergeCell ref="C20:D20"/>
    <mergeCell ref="E15:E17"/>
    <mergeCell ref="E53:F53"/>
    <mergeCell ref="F35:F36"/>
    <mergeCell ref="C18:D18"/>
    <mergeCell ref="C19:D19"/>
    <mergeCell ref="E55:F55"/>
    <mergeCell ref="E43:E44"/>
    <mergeCell ref="F43:F44"/>
    <mergeCell ref="C21:D21"/>
    <mergeCell ref="C22:D22"/>
    <mergeCell ref="E56:F56"/>
    <mergeCell ref="B31:B42"/>
    <mergeCell ref="E33:E34"/>
    <mergeCell ref="F33:F34"/>
    <mergeCell ref="B25:B30"/>
    <mergeCell ref="F37:F38"/>
    <mergeCell ref="F39:F40"/>
    <mergeCell ref="F41:F42"/>
    <mergeCell ref="B43:B44"/>
    <mergeCell ref="C43:D44"/>
    <mergeCell ref="D35:D36"/>
    <mergeCell ref="E35:E36"/>
    <mergeCell ref="D37:D38"/>
    <mergeCell ref="E37:E38"/>
    <mergeCell ref="C23:D23"/>
    <mergeCell ref="C24:D24"/>
    <mergeCell ref="C25:D25"/>
    <mergeCell ref="C26:D26"/>
    <mergeCell ref="C27:D27"/>
    <mergeCell ref="C28:D28"/>
    <mergeCell ref="C39:C42"/>
    <mergeCell ref="D39:D40"/>
    <mergeCell ref="E39:E40"/>
    <mergeCell ref="D41:D42"/>
    <mergeCell ref="E41:E42"/>
    <mergeCell ref="C30:D30"/>
    <mergeCell ref="C32:E32"/>
    <mergeCell ref="C33:C34"/>
    <mergeCell ref="D33:D34"/>
    <mergeCell ref="C35:C38"/>
  </mergeCells>
  <printOptions horizontalCentered="1"/>
  <pageMargins left="0.511811023622047" right="0.511811023622047" top="0.354330708661417" bottom="0.354330708661417" header="0.31496062992126" footer="0.31496062992126"/>
  <pageSetup fitToHeight="1" fitToWidth="1"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F39"/>
  <sheetViews>
    <sheetView showGridLines="0" showZeros="0" showOutlineSymbols="0" zoomScalePageLayoutView="0" workbookViewId="0" topLeftCell="A1">
      <selection activeCell="C13" sqref="C13"/>
    </sheetView>
  </sheetViews>
  <sheetFormatPr defaultColWidth="9.140625" defaultRowHeight="12.75"/>
  <cols>
    <col min="1" max="1" width="3.57421875" style="108" bestFit="1" customWidth="1"/>
    <col min="2" max="2" width="68.28125" style="108" customWidth="1"/>
    <col min="3" max="4" width="11.7109375" style="108" customWidth="1"/>
    <col min="5" max="5" width="10.140625" style="108" bestFit="1" customWidth="1"/>
    <col min="6" max="16384" width="9.140625" style="108" customWidth="1"/>
  </cols>
  <sheetData>
    <row r="2" spans="1:6" ht="15.75">
      <c r="A2" s="453" t="s">
        <v>54</v>
      </c>
      <c r="B2" s="453"/>
      <c r="C2" s="453"/>
      <c r="D2" s="453"/>
      <c r="E2" s="107"/>
      <c r="F2" s="107"/>
    </row>
    <row r="4" spans="2:4" ht="12.75">
      <c r="B4" s="117" t="s">
        <v>18</v>
      </c>
      <c r="C4" s="109" t="s">
        <v>23</v>
      </c>
      <c r="D4" s="109" t="s">
        <v>24</v>
      </c>
    </row>
    <row r="5" spans="2:6" ht="12.75">
      <c r="B5" s="108" t="s">
        <v>28</v>
      </c>
      <c r="C5" s="105"/>
      <c r="D5" s="105"/>
      <c r="F5" s="110"/>
    </row>
    <row r="6" spans="2:6" ht="12.75">
      <c r="B6" s="108" t="s">
        <v>29</v>
      </c>
      <c r="C6" s="105"/>
      <c r="D6" s="105"/>
      <c r="F6" s="110"/>
    </row>
    <row r="7" spans="2:6" ht="12.75">
      <c r="B7" s="108" t="s">
        <v>30</v>
      </c>
      <c r="C7" s="105"/>
      <c r="D7" s="105"/>
      <c r="F7" s="110"/>
    </row>
    <row r="8" ht="12.75">
      <c r="B8" s="111" t="s">
        <v>88</v>
      </c>
    </row>
    <row r="9" spans="2:5" ht="12.75">
      <c r="B9" s="108" t="s">
        <v>21</v>
      </c>
      <c r="C9" s="106"/>
      <c r="D9" s="106"/>
      <c r="E9" s="151"/>
    </row>
    <row r="10" spans="2:5" ht="12.75">
      <c r="B10" s="108" t="s">
        <v>22</v>
      </c>
      <c r="C10" s="106"/>
      <c r="D10" s="106"/>
      <c r="E10" s="151"/>
    </row>
    <row r="11" ht="12.75">
      <c r="B11" s="111" t="s">
        <v>225</v>
      </c>
    </row>
    <row r="12" spans="2:3" ht="12.75">
      <c r="B12" s="121" t="s">
        <v>222</v>
      </c>
      <c r="C12" s="106"/>
    </row>
    <row r="13" spans="2:3" ht="12.75">
      <c r="B13" s="121" t="s">
        <v>41</v>
      </c>
      <c r="C13" s="106"/>
    </row>
    <row r="14" spans="2:3" ht="12.75">
      <c r="B14" s="111" t="s">
        <v>221</v>
      </c>
      <c r="C14" s="120"/>
    </row>
    <row r="15" spans="2:4" ht="12.75">
      <c r="B15" s="108" t="s">
        <v>21</v>
      </c>
      <c r="C15" s="106"/>
      <c r="D15" s="106"/>
    </row>
    <row r="16" spans="2:4" ht="12.75">
      <c r="B16" s="108" t="s">
        <v>22</v>
      </c>
      <c r="C16" s="106"/>
      <c r="D16" s="106"/>
    </row>
    <row r="17" spans="3:4" ht="12.75">
      <c r="C17" s="340"/>
      <c r="D17" s="340"/>
    </row>
    <row r="18" spans="2:3" ht="12.75">
      <c r="B18" s="111" t="s">
        <v>220</v>
      </c>
      <c r="C18" s="106"/>
    </row>
    <row r="19" spans="2:3" ht="12.75">
      <c r="B19" s="111" t="s">
        <v>27</v>
      </c>
      <c r="C19" s="106"/>
    </row>
    <row r="20" ht="12.75"/>
    <row r="24" ht="12.75">
      <c r="B24" s="111" t="str">
        <f>"Износ рачуна за утрошену електричну енергију у периоду од "&amp;C5&amp;"."&amp;C6&amp;"."&amp;C7&amp;". "&amp;"до "&amp;D5&amp;"."&amp;D6&amp;"."&amp;D7&amp;". године (динара)"</f>
        <v>Износ рачуна за утрошену електричну енергију у периоду од ... до ... године (динара)</v>
      </c>
    </row>
    <row r="25" ht="12.75">
      <c r="B25" s="111"/>
    </row>
    <row r="26" spans="1:3" ht="12.75">
      <c r="A26" s="115" t="s">
        <v>63</v>
      </c>
      <c r="B26" s="108" t="s">
        <v>19</v>
      </c>
      <c r="C26" s="112">
        <f>+'Obracun - El energija'!E53</f>
        <v>0</v>
      </c>
    </row>
    <row r="27" spans="1:3" ht="12.75">
      <c r="A27" s="115" t="s">
        <v>64</v>
      </c>
      <c r="B27" s="121" t="s">
        <v>226</v>
      </c>
      <c r="C27" s="112">
        <f>+'Obracun - El energija'!H53</f>
        <v>0</v>
      </c>
    </row>
    <row r="28" spans="1:3" ht="12.75">
      <c r="A28" s="115" t="s">
        <v>65</v>
      </c>
      <c r="B28" s="108" t="s">
        <v>78</v>
      </c>
      <c r="C28" s="112">
        <f>+'Obracun - El energija'!K53</f>
        <v>0</v>
      </c>
    </row>
    <row r="29" spans="1:3" ht="12.75">
      <c r="A29" s="150" t="s">
        <v>66</v>
      </c>
      <c r="B29" s="121" t="s">
        <v>216</v>
      </c>
      <c r="C29" s="112">
        <f>+'Obracun - El energija'!N53</f>
        <v>0</v>
      </c>
    </row>
    <row r="30" spans="1:3" ht="12.75">
      <c r="A30" s="150" t="s">
        <v>67</v>
      </c>
      <c r="B30" s="121" t="s">
        <v>213</v>
      </c>
      <c r="C30" s="112">
        <f>+'Obracun - El energija'!$O$53</f>
        <v>0</v>
      </c>
    </row>
    <row r="31" spans="1:3" ht="12.75">
      <c r="A31" s="116" t="s">
        <v>68</v>
      </c>
      <c r="B31" s="111" t="s">
        <v>219</v>
      </c>
      <c r="C31" s="113">
        <f>+'Obracun - El energija'!P53</f>
        <v>0</v>
      </c>
    </row>
    <row r="32" spans="1:3" ht="12.75">
      <c r="A32" s="150" t="s">
        <v>69</v>
      </c>
      <c r="B32" s="121" t="s">
        <v>212</v>
      </c>
      <c r="C32" s="112">
        <f>+'Obracun - El energija'!Q53</f>
        <v>0</v>
      </c>
    </row>
    <row r="33" spans="1:3" ht="12.75">
      <c r="A33" s="116" t="s">
        <v>70</v>
      </c>
      <c r="B33" s="111" t="s">
        <v>227</v>
      </c>
      <c r="C33" s="113">
        <f>+'Obracun - El energija'!R53</f>
        <v>0</v>
      </c>
    </row>
    <row r="34" ht="12.75">
      <c r="C34" s="112"/>
    </row>
    <row r="35" spans="2:3" ht="12.75">
      <c r="B35" s="111" t="s">
        <v>137</v>
      </c>
      <c r="C35" s="112"/>
    </row>
    <row r="36" ht="12.75">
      <c r="C36" s="112"/>
    </row>
    <row r="37" spans="1:3" ht="12.75">
      <c r="A37" s="265" t="s">
        <v>63</v>
      </c>
      <c r="B37" s="263" t="s">
        <v>138</v>
      </c>
      <c r="C37" s="266">
        <f>+'Obracun - El energija'!N62</f>
        <v>0</v>
      </c>
    </row>
    <row r="38" spans="1:3" ht="12.75">
      <c r="A38" s="262" t="s">
        <v>64</v>
      </c>
      <c r="B38" s="108" t="str">
        <f>+B32</f>
        <v>Порез (ПДВ) 20%</v>
      </c>
      <c r="C38" s="267">
        <f>+'Obracun - El energija'!O62</f>
        <v>0</v>
      </c>
    </row>
    <row r="39" spans="1:3" ht="12.75">
      <c r="A39" s="265" t="s">
        <v>65</v>
      </c>
      <c r="B39" s="263" t="s">
        <v>139</v>
      </c>
      <c r="C39" s="266">
        <f>+'Obracun - El energija'!P62</f>
        <v>0</v>
      </c>
    </row>
  </sheetData>
  <sheetProtection password="DC64" sheet="1" selectLockedCells="1"/>
  <mergeCells count="1">
    <mergeCell ref="A2:D2"/>
  </mergeCells>
  <dataValidations count="8">
    <dataValidation errorStyle="warning" type="whole" operator="greaterThanOrEqual" allowBlank="1" showErrorMessage="1" promptTitle="Година претходног читања" prompt="Унесите годину" errorTitle="Година претходног читања" error="Тарифни систем је почео да се примењује од 2008. године. За претходне године се није примењивао овај обрачун. Година новог читања не може бити мања од године претходног читања." sqref="D7">
      <formula1>C7</formula1>
    </dataValidation>
    <dataValidation errorStyle="warning" type="whole" operator="lessThanOrEqual" allowBlank="1" showErrorMessage="1" promptTitle="Година претходног читања" prompt="Унесите годину" errorTitle="Година претходног читања" error="Тарифни систем је почео да се примењује од 2008. године. За претходне године се није примењивао овај обрачун. Година претходног читања не може бити већа од године новог читања." sqref="C7">
      <formula1>D7</formula1>
    </dataValidation>
    <dataValidation errorStyle="warning" type="whole" operator="greaterThanOrEqual" allowBlank="1" showErrorMessage="1" promptTitle="Ново читање" prompt="Унесите активну енергију" errorTitle="Ново читање" error="Количина новог читања не може бити мања од количине претходног читања." sqref="D9:D10 D15:D17">
      <formula1>C9</formula1>
    </dataValidation>
    <dataValidation errorStyle="warning" type="whole" operator="lessThanOrEqual" allowBlank="1" showErrorMessage="1" promptTitle="Претходно читање" prompt="Унесите активну енергију" errorTitle="Претходно читање" error="Количина претходног читања не може бити већа од количине новог читања." sqref="C9:C10 C15:C17">
      <formula1>D9</formula1>
    </dataValidation>
    <dataValidation errorStyle="warning" type="whole" allowBlank="1" showErrorMessage="1" promptTitle="Дан претходног читања" prompt="Унесите број између 1 и 31" errorTitle="Упозорење" error="Унесите број између 1 и 31" sqref="C5">
      <formula1>1</formula1>
      <formula2>31</formula2>
    </dataValidation>
    <dataValidation errorStyle="warning" type="whole" allowBlank="1" showErrorMessage="1" promptTitle="Дан новог читања" prompt="Унесите број између 1 и 31" errorTitle="Упозорење" error="Унесите број између 1 и 31" sqref="D5">
      <formula1>1</formula1>
      <formula2>31</formula2>
    </dataValidation>
    <dataValidation errorStyle="warning" type="whole" allowBlank="1" showErrorMessage="1" promptTitle="Месец претходног читања" prompt="Унесите број између 1 и 12" errorTitle="Упозорење" error="Унесите број између 1 и 12" sqref="C6">
      <formula1>1</formula1>
      <formula2>12</formula2>
    </dataValidation>
    <dataValidation errorStyle="warning" type="whole" allowBlank="1" showErrorMessage="1" promptTitle="Месец новог читања" prompt="Унесите број између 1 и 12" errorTitle="Упозорење" error="Унесите број између 1 и 12" sqref="D6">
      <formula1>1</formula1>
      <formula2>12</formula2>
    </dataValidation>
  </dataValidations>
  <printOptions horizontalCentered="1" verticalCentered="1"/>
  <pageMargins left="0.5511811023622047" right="0.5511811023622047" top="0.5905511811023623" bottom="0.5905511811023623" header="0.31496062992125984" footer="0.31496062992125984"/>
  <pageSetup fitToHeight="1" fitToWidth="1" horizontalDpi="1200" verticalDpi="1200" orientation="landscape" r:id="rId2"/>
  <headerFooter alignWithMargins="0">
    <oddFooter>&amp;L&amp;D&amp;RАЕРС - Агенција за енергетику Републике Србије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Gordan Tanic</dc:creator>
  <cp:keywords/>
  <dc:description/>
  <cp:lastModifiedBy>Nebojsa Despotovic</cp:lastModifiedBy>
  <cp:lastPrinted>2010-03-23T10:35:53Z</cp:lastPrinted>
  <dcterms:created xsi:type="dcterms:W3CDTF">1999-04-02T11:35:29Z</dcterms:created>
  <dcterms:modified xsi:type="dcterms:W3CDTF">2013-12-03T10:44:08Z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